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htdocs\web\ine\contratos\"/>
    </mc:Choice>
  </mc:AlternateContent>
  <xr:revisionPtr revIDLastSave="0" documentId="8_{2BC9B953-F351-494E-846F-570DC0889868}" xr6:coauthVersionLast="47" xr6:coauthVersionMax="47" xr10:uidLastSave="{00000000-0000-0000-0000-000000000000}"/>
  <bookViews>
    <workbookView xWindow="-28920" yWindow="-3255" windowWidth="29040" windowHeight="15720" xr2:uid="{51AA186A-83AD-414B-BC30-085129FE05E0}"/>
  </bookViews>
  <sheets>
    <sheet name="Lista de contratos" sheetId="1" r:id="rId1"/>
    <sheet name="estadísticas pymes" sheetId="6" r:id="rId2"/>
    <sheet name="Hoja1" sheetId="4" state="hidden" r:id="rId3"/>
  </sheets>
  <definedNames>
    <definedName name="_xlnm._FilterDatabase" localSheetId="0" hidden="1">'Lista de contratos'!$A$1:$L$1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E12" i="6"/>
  <c r="D12" i="6"/>
  <c r="E11" i="6"/>
  <c r="D11" i="6"/>
  <c r="E14" i="6" l="1"/>
  <c r="D14" i="6"/>
  <c r="D21" i="6" l="1"/>
  <c r="D20" i="6"/>
  <c r="E19" i="6"/>
  <c r="D19" i="6"/>
  <c r="E17" i="6"/>
  <c r="D17" i="6"/>
  <c r="D16" i="6"/>
  <c r="E15" i="6"/>
  <c r="D15" i="6"/>
  <c r="D43" i="6"/>
  <c r="C43" i="6"/>
  <c r="E33" i="6"/>
  <c r="D33" i="6"/>
  <c r="D32" i="6"/>
  <c r="E31" i="6"/>
  <c r="D31" i="6"/>
  <c r="E29" i="6"/>
  <c r="D29" i="6"/>
  <c r="E28" i="6"/>
  <c r="D28" i="6"/>
  <c r="E27" i="6"/>
  <c r="D27" i="6"/>
  <c r="E25" i="6"/>
  <c r="D25" i="6"/>
  <c r="E24" i="6"/>
  <c r="D24" i="6"/>
  <c r="E23" i="6"/>
  <c r="D23" i="6"/>
  <c r="E9" i="6"/>
  <c r="D9" i="6"/>
  <c r="E8" i="6"/>
  <c r="D8" i="6"/>
  <c r="E7" i="6"/>
  <c r="D7" i="6"/>
  <c r="E5" i="6"/>
  <c r="D5" i="6"/>
  <c r="E4" i="6"/>
  <c r="D4" i="6"/>
  <c r="E3" i="6"/>
  <c r="D3" i="6"/>
  <c r="B43" i="6"/>
  <c r="D18" i="6" l="1"/>
  <c r="D26" i="6"/>
  <c r="E26" i="6"/>
  <c r="D22" i="6"/>
  <c r="D10" i="6"/>
  <c r="D34" i="6"/>
  <c r="E6" i="6"/>
  <c r="E10" i="6"/>
  <c r="D6" i="6"/>
  <c r="D30" i="6"/>
  <c r="E30" i="6"/>
  <c r="Q111" i="1"/>
  <c r="R111" i="1"/>
  <c r="E16" i="6" s="1"/>
  <c r="E18" i="6" s="1"/>
  <c r="R107" i="1"/>
  <c r="Q107" i="1"/>
  <c r="R106" i="1"/>
  <c r="E21" i="6" s="1"/>
  <c r="Q106" i="1"/>
  <c r="E43" i="6" l="1"/>
  <c r="D35" i="6"/>
  <c r="F43" i="6"/>
  <c r="R104" i="1"/>
  <c r="E20" i="6" s="1"/>
  <c r="E22" i="6" s="1"/>
  <c r="Q104" i="1"/>
  <c r="R97" i="1"/>
  <c r="Q97" i="1"/>
  <c r="R96" i="1"/>
  <c r="Q96" i="1"/>
  <c r="R94" i="1"/>
  <c r="Q94" i="1"/>
  <c r="R65" i="1"/>
  <c r="Q65" i="1"/>
  <c r="E32" i="6" l="1"/>
  <c r="E34" i="6" l="1"/>
  <c r="E35" i="6" l="1"/>
  <c r="F13" i="6" l="1"/>
  <c r="F12" i="6"/>
  <c r="F11" i="6"/>
  <c r="F14" i="6"/>
  <c r="F27" i="6"/>
  <c r="F29" i="6"/>
  <c r="F21" i="6"/>
  <c r="F19" i="6"/>
  <c r="F8" i="6"/>
  <c r="F15" i="6"/>
  <c r="F25" i="6"/>
  <c r="F17" i="6"/>
  <c r="F30" i="6"/>
  <c r="F5" i="6"/>
  <c r="F26" i="6"/>
  <c r="F16" i="6"/>
  <c r="F3" i="6"/>
  <c r="F6" i="6"/>
  <c r="F33" i="6"/>
  <c r="F9" i="6"/>
  <c r="F7" i="6"/>
  <c r="F31" i="6"/>
  <c r="F4" i="6"/>
  <c r="F23" i="6"/>
  <c r="F28" i="6"/>
  <c r="F10" i="6"/>
  <c r="F24" i="6"/>
  <c r="F18" i="6"/>
  <c r="F22" i="6"/>
  <c r="F20" i="6"/>
  <c r="F32" i="6"/>
  <c r="F34" i="6"/>
</calcChain>
</file>

<file path=xl/sharedStrings.xml><?xml version="1.0" encoding="utf-8"?>
<sst xmlns="http://schemas.openxmlformats.org/spreadsheetml/2006/main" count="1027" uniqueCount="392">
  <si>
    <t>Nº Expediente</t>
  </si>
  <si>
    <t>Objeto</t>
  </si>
  <si>
    <t>Promotora</t>
  </si>
  <si>
    <t>Ámbito</t>
  </si>
  <si>
    <t>Anuncio previo</t>
  </si>
  <si>
    <t>Tipo</t>
  </si>
  <si>
    <t>Duración (en meses)</t>
  </si>
  <si>
    <t>Procedimiento</t>
  </si>
  <si>
    <t>Publicidad</t>
  </si>
  <si>
    <t>Anualidad tramitación</t>
  </si>
  <si>
    <t>Estado</t>
  </si>
  <si>
    <t>Fecha adjudicación</t>
  </si>
  <si>
    <t>Adjudicatario (NIF)</t>
  </si>
  <si>
    <t>¿PYME?</t>
  </si>
  <si>
    <t>Número de empresas licitadoras</t>
  </si>
  <si>
    <t>Número de empresas licitadoras pymes</t>
  </si>
  <si>
    <t>Importe IVA incluido de licitación</t>
  </si>
  <si>
    <t>Importe IVA incluido de la adjudicación</t>
  </si>
  <si>
    <t>2024N0074034_lote1</t>
  </si>
  <si>
    <t>Administración de microinformática, servidores Windows, Citrix, directorio activo, Novell/OES y redes de comunicaciones del INE - Lote 1. Atención al Usuario, gestión de la microinformática, administración de servidores Windows,
Citrix, Directorio Activo y NOVELL/OES del INE (SS.CC. y DD.PP.)</t>
  </si>
  <si>
    <t>Público</t>
  </si>
  <si>
    <t>SERVICIOS</t>
  </si>
  <si>
    <t>ABIERTO</t>
  </si>
  <si>
    <t>PLACSP, BOE y DOUE</t>
  </si>
  <si>
    <t>Adjudicado</t>
  </si>
  <si>
    <t>A79153920</t>
  </si>
  <si>
    <t>NO</t>
  </si>
  <si>
    <t>2024N0074034_lote2</t>
  </si>
  <si>
    <t>Administración de microinformática, servidores Windows, Citrix, directorio activo, Novell/OES y redes de comunicaciones del INE – Lote 2: Administración de redes de comunicaciones en los edificios del INE (DD.PP. y SS.CC.)</t>
  </si>
  <si>
    <t>B88018098</t>
  </si>
  <si>
    <t>2024N0059014</t>
  </si>
  <si>
    <t>Recogida de datos de la Encuesta sobre Innovación de las empresas 2024 y las Estadísticas sobre Actividades en I+D 2024</t>
  </si>
  <si>
    <t>B81372047</t>
  </si>
  <si>
    <t>SÍ</t>
  </si>
  <si>
    <t>2024N0074036</t>
  </si>
  <si>
    <t>Servicios de mantenimiento y desarrollo de aplicaciones Java para Administración Electrónica, apoyo al desarrollo estadístico, soluciones administrativas internas, y gestión de usuarios con destino al Instituto Nacional de Estadística</t>
  </si>
  <si>
    <t>A28855260</t>
  </si>
  <si>
    <t>2024N0015002</t>
  </si>
  <si>
    <t>Edición, manipulado y entrega al operador postal Sociedad Estatal Correos y Telégrafos, SA. de notificaciones como consecuencia de variaciones en sus datos de inscripción, de los electores inscritos en el Censo Electoral de Residentes en España (CER) y en el Censo Electoral de Residentes Ausentes que viven en el extranjero (CERA)</t>
  </si>
  <si>
    <t>B64510373</t>
  </si>
  <si>
    <t>2024N0059017</t>
  </si>
  <si>
    <t>Recogida de datos de la Encuesta sobre equipamiento y uso de Tecnologías de Información y Comunicación en los Hogares en 2025 (TICH)</t>
  </si>
  <si>
    <t>B83733089</t>
  </si>
  <si>
    <t>2024N0059020</t>
  </si>
  <si>
    <t>Recogida de datos de la Encuesta de Turismo de Residentes en 2025 (ETR)</t>
  </si>
  <si>
    <t>A28364263</t>
  </si>
  <si>
    <t>2024N0059019</t>
  </si>
  <si>
    <t>Recogida de datos de las encuestas de turismo FRONTUR y EGATUR</t>
  </si>
  <si>
    <t>U04994562</t>
  </si>
  <si>
    <t>2025N1073022</t>
  </si>
  <si>
    <t>Servicio de prevención ajeno para la Vigilancia de la Salud de los/las empleados/as públicos/as de los Servicios Centrales y las Delegaciones Provinciales del INE</t>
  </si>
  <si>
    <t>B64076482</t>
  </si>
  <si>
    <t>2025N0059001</t>
  </si>
  <si>
    <t>Recogida de la Encuesta de Fecundidad 2025</t>
  </si>
  <si>
    <t>2024N0002004</t>
  </si>
  <si>
    <t>Servicios de Asistencia Técnica para el mantenimiento de las Aplicaciones Informáticas del Sistema de Gestión Padronal, Recogida de Datos de MNP e Intercambio de Datos de Censo Electoral con destino al Instituto Nacional de Estadística</t>
  </si>
  <si>
    <t>A20038915</t>
  </si>
  <si>
    <t>2025N1073024</t>
  </si>
  <si>
    <t>Seguro colectivo de automóviles para vehículos privados del personal encuestador de campo del Instituto Nacional de Estadística</t>
  </si>
  <si>
    <t>Privado</t>
  </si>
  <si>
    <t>A28141935</t>
  </si>
  <si>
    <t>2025N1073018_lote1</t>
  </si>
  <si>
    <t>Servicio de vigilancia en los inmuebles de los Servicios Centrales y Delegaciones Provinciales de Madrid, Barcelona y Valencia del Instituto Nacional de Estadística – Lote 1: Servicios Centrales y Delegación Provincial del Instituto Nacional de Estadística en
Madrid</t>
  </si>
  <si>
    <t>U22962583</t>
  </si>
  <si>
    <t>2025N1073018_lote2</t>
  </si>
  <si>
    <t>Servicio de vigilancia en los inmuebles de los Servicios Centrales y Delegaciones Provinciales de Madrid, Barcelona y Valencia del Instituto Nacional de Estadística – Lote 2: Delegación Provincial del Instituto Nacional de Estadística en Barcelona</t>
  </si>
  <si>
    <t>B86881588</t>
  </si>
  <si>
    <t>2025N1073018_lote3</t>
  </si>
  <si>
    <t>Servicio de vigilancia en los inmuebles de los Servicios Centrales y Delegaciones Provinciales de Madrid, Barcelona y Valencia del Instituto Nacional de Estadística  – Lote 3: Delegación Provincial del Instituto Nacional de Estadística en Valencia</t>
  </si>
  <si>
    <t>A06072979</t>
  </si>
  <si>
    <t>2025N0059002</t>
  </si>
  <si>
    <t>Recogida de la Encuesta de Transición Educativa-Formativa e Inserción Laboral 2026 (ETEFIL)</t>
  </si>
  <si>
    <t>2025N0059003</t>
  </si>
  <si>
    <t>Recogida de datos de la Encuesta de Características Esenciales de la Población y las Viviendas (ECEPOV)</t>
  </si>
  <si>
    <t>2024N0075008</t>
  </si>
  <si>
    <t>Adquisición de material promocional y de marketing para el INE</t>
  </si>
  <si>
    <t>SUMINISTROS</t>
  </si>
  <si>
    <t>ABIERTO SIMPLIFICADO ABREVIADO</t>
  </si>
  <si>
    <t>Sólo PLACSP</t>
  </si>
  <si>
    <t>B66342767</t>
  </si>
  <si>
    <t>2024N1071009</t>
  </si>
  <si>
    <t>Servicio de polifuncionales en las dependencias de la D.P. de Bizkaia del INE</t>
  </si>
  <si>
    <t>B94011665</t>
  </si>
  <si>
    <t>2024N1071010</t>
  </si>
  <si>
    <t>Servicio de polifuncionales en las dependencias de la D.P. de Navarra del INE</t>
  </si>
  <si>
    <t>2024N0074027</t>
  </si>
  <si>
    <t>Suministro de portátiles de altas prestaciones para el INE</t>
  </si>
  <si>
    <t>B78949799</t>
  </si>
  <si>
    <t>2024N1073066</t>
  </si>
  <si>
    <t>Servicio de mantenimiento integral de las instalaciones de climatización del edificio de la Delegación Provincial del Instituto Nacional de Estadística en Barcelona</t>
  </si>
  <si>
    <t>ABIERTO SIMPLIFICADO</t>
  </si>
  <si>
    <t>B25207739</t>
  </si>
  <si>
    <t>2025N1071002</t>
  </si>
  <si>
    <t>Servicio de polifuncionales en las dependencias de la Delegación Provincial de Soria del Instituto Nacional de Estadística</t>
  </si>
  <si>
    <t>2025N1071003</t>
  </si>
  <si>
    <t>Servicio de polifuncionales en las dependencias de la Delegación Provincial de Illes Balears del Instituto Nacional de Estadística</t>
  </si>
  <si>
    <t>B13535331</t>
  </si>
  <si>
    <t>2024N1073068</t>
  </si>
  <si>
    <t>Servicio de mantenimiento integral de las instalaciones del edificio de la D.P. del INE de Valencia</t>
  </si>
  <si>
    <t>B46866240</t>
  </si>
  <si>
    <t>2024N4057002</t>
  </si>
  <si>
    <t>Servicios de acceso a información sobre ingresos de las compañías comercializadoras de gran consumo, para el IPC</t>
  </si>
  <si>
    <t>NEGOCIADO SIN PUBLICIDAD</t>
  </si>
  <si>
    <t>No procede</t>
  </si>
  <si>
    <t>B28359685</t>
  </si>
  <si>
    <t>2025N1073029</t>
  </si>
  <si>
    <t>Servicio de limpieza en las dependencias de la Delegación Provincial de Salamanca del Instituto Nacional de Estadística</t>
  </si>
  <si>
    <t>B37033537</t>
  </si>
  <si>
    <t>2025N0074008</t>
  </si>
  <si>
    <t>Actualización de la licencia corporativa del sistema Bellview Scan 2026</t>
  </si>
  <si>
    <t>A46063418</t>
  </si>
  <si>
    <t>2025N0074009</t>
  </si>
  <si>
    <t>Suministro de accesorios informáticos y dispositivos de seguridad para equipos portátiles y lectores de códigos de barras 2D</t>
  </si>
  <si>
    <t>A78327350</t>
  </si>
  <si>
    <t>2025N1071019</t>
  </si>
  <si>
    <t>Servicio de polifuncionales en las dependencias de la D.P. de Málaga del INE</t>
  </si>
  <si>
    <t>B91749655</t>
  </si>
  <si>
    <t>2025N1073041</t>
  </si>
  <si>
    <t>Servicio de limpieza en las dependencias de la Delegación Provincial de Zamora del Instituto Nacional de Estadística</t>
  </si>
  <si>
    <t>B74010042</t>
  </si>
  <si>
    <t>2025N0075001</t>
  </si>
  <si>
    <t>Servicios para la realización de piezas audiovisuales para el Instituto Nacional de Estadística</t>
  </si>
  <si>
    <t>B85551802</t>
  </si>
  <si>
    <t>2025N1071016</t>
  </si>
  <si>
    <t>Suministro de sobres - bolsa impresos al objeto de cubrir las necesidades de los Servicios Centrales y las Delegaciones Provinciales del Instituto Nacional de Estadística</t>
  </si>
  <si>
    <t>A20070876</t>
  </si>
  <si>
    <t>2025N0075005</t>
  </si>
  <si>
    <t>Servicios de impresión, encuadernación y distribución al Fondo Editorial del INE y a los suscriptores de los números de la revista Índice</t>
  </si>
  <si>
    <t>B81623407</t>
  </si>
  <si>
    <t>2025N1073038</t>
  </si>
  <si>
    <t>Servicio de mantenimiento de las instalaciones de los inmuebles de los Servicios Centrales del Instituto Nacional de Estadística</t>
  </si>
  <si>
    <t>B79863148</t>
  </si>
  <si>
    <t>2025N1071022</t>
  </si>
  <si>
    <t>Servicio de polifuncionales en las dependencias de la Delegación Provincial de Huelva del Instituto Nacional de Estadística</t>
  </si>
  <si>
    <t>2024N1073024</t>
  </si>
  <si>
    <t>Obra para ejecución de un baño en la planta baja de la Delegación del INE en Pontevedra, ubicada en calle Iglesias Vilarelle 2 (Pontevedra) y su adaptación a las necesidades de accesibilidad para personas con movilidad reducida y/o discapacidad</t>
  </si>
  <si>
    <t>OBRAS</t>
  </si>
  <si>
    <t>CONTRATO MENOR</t>
  </si>
  <si>
    <t>Invitación correo electrónico</t>
  </si>
  <si>
    <t>B36589497</t>
  </si>
  <si>
    <t>2024N1073055</t>
  </si>
  <si>
    <t>Suministro e instalación de equipos de detección y extinción de incendios, para subsanar las deficiencias detectadas en dicha instalación, en la Delegación Provincial del INE en Santander, situada en la C/ Concepción Arenal 10, en Santander</t>
  </si>
  <si>
    <t>B39033014</t>
  </si>
  <si>
    <t>2024N1073072</t>
  </si>
  <si>
    <t>Realización de informe sobre el estado de las instalaciones térmicas del edificio del Instituto Nacional de Estadística , situado en Via Laietana, 8 de Barcelona</t>
  </si>
  <si>
    <t>B83871640</t>
  </si>
  <si>
    <t>2025N0003001</t>
  </si>
  <si>
    <t>Organización de un seminario denominado “Encuentro entre Productores y Usuarios de Estadísticas de Turismo” a celebrar los días 9 y 10 de junio de 2025 en Madrid</t>
  </si>
  <si>
    <t>Q2818002D</t>
  </si>
  <si>
    <t>2025N0011001</t>
  </si>
  <si>
    <t>Servicio de organización de catering y actividades culturales para la Reunión Plenaria de la Comisión de Delegaciones del INE</t>
  </si>
  <si>
    <t>A48028179</t>
  </si>
  <si>
    <t>2025N0016001</t>
  </si>
  <si>
    <t>Interpretación simultánea inglés-francés/francésinglés de los webinars del programa PAS II en el año 2025</t>
  </si>
  <si>
    <t>B82291519</t>
  </si>
  <si>
    <t>2025N0058001</t>
  </si>
  <si>
    <t>Contratación del servicio de codificación de la variable ocupación en la Encuesta Anual de Estructura Salarial 2024 -EAES 2024-</t>
  </si>
  <si>
    <t xml:space="preserve">                                                                                              </t>
  </si>
  <si>
    <t>2025N0061002</t>
  </si>
  <si>
    <t>Depuración en la Encuesta de Condiciones de Vida de 2025 para el Instituto Nacional de Estadística</t>
  </si>
  <si>
    <t>2025N0074004</t>
  </si>
  <si>
    <t>Suministro de cables de conexión y ratones ópticos USB</t>
  </si>
  <si>
    <t>B83029439</t>
  </si>
  <si>
    <t>2025N0074010 </t>
  </si>
  <si>
    <t>Instalación de soluciones para la calidad del sw y ampliación de la arquitectura del proyecto de Cuentas Nacionales</t>
  </si>
  <si>
    <t>B87335071</t>
  </si>
  <si>
    <t>2025N0074011</t>
  </si>
  <si>
    <t>Servicio de actualización de la configuración de seguridad del control de acceso a la red NAC</t>
  </si>
  <si>
    <t>A80644081</t>
  </si>
  <si>
    <t>2025N0074019</t>
  </si>
  <si>
    <t>Asistencia técnica para el diagnóstico de necesidades tecnológicas para la Formación del INE</t>
  </si>
  <si>
    <t>B83209015</t>
  </si>
  <si>
    <t>2025N0074020</t>
  </si>
  <si>
    <t>Suministro de la ampliación de licencias de los módulos de cifrado del software Editran</t>
  </si>
  <si>
    <t>2025N0074021</t>
  </si>
  <si>
    <t>Suministro de licencias de Inteligencia Artificial Generativa para realizar una comparativa en base a casos de uso en el INE</t>
  </si>
  <si>
    <t>B87615100</t>
  </si>
  <si>
    <t>2025N0074024</t>
  </si>
  <si>
    <t>Asistencia técnica para el diseño de un agente inteligente para optimizar la gestión de consultas legislativas para el Gabinete de la Presidencia del INE</t>
  </si>
  <si>
    <t>G79251716</t>
  </si>
  <si>
    <t>2025N0074027</t>
  </si>
  <si>
    <t>Suministro de cámaras de videoconferencia</t>
  </si>
  <si>
    <t>2025N0075002</t>
  </si>
  <si>
    <t>Servicio que proporcione la plataforma Hallon de seguimiento de noticias -clipping- para el Gabinete de Prensa del INE</t>
  </si>
  <si>
    <t>B48781256</t>
  </si>
  <si>
    <t>2025N0075006</t>
  </si>
  <si>
    <t>Servicios de manutención, traslados locales, actividades sociales y culturales y acompañamiento continuo para los ganadores de la octava Competición Estadística Europea</t>
  </si>
  <si>
    <t>B84905371</t>
  </si>
  <si>
    <t>2025N0075008</t>
  </si>
  <si>
    <t>Servicio de suscripción al servicio de información y noticias en tiempo real “texto España” de la Agencia EFE para el Gabinete de Prensa del INE</t>
  </si>
  <si>
    <t>A28028744</t>
  </si>
  <si>
    <t>2025N0075009</t>
  </si>
  <si>
    <t>Servicio de suscripción al servicio de noticias de Economía de Europa Press para el Gabinete de Prensa del Instituto Nacional de Estadística</t>
  </si>
  <si>
    <t>A41606534</t>
  </si>
  <si>
    <t>2025N0075010</t>
  </si>
  <si>
    <t>Servicio para la transformación de cuestionarios y publicaciones de Corel a InDesign y posibles actualizaciones en el proceso</t>
  </si>
  <si>
    <t>2025N1070001</t>
  </si>
  <si>
    <t>Formación del curso “Registro electrónico: GEISER” para personal del INE</t>
  </si>
  <si>
    <t>B26265835</t>
  </si>
  <si>
    <t>2025N1070002</t>
  </si>
  <si>
    <t>Formación de 2 ediciones de la actividad formativa “Gestión de equipos en teletrabajo” para personal del INE</t>
  </si>
  <si>
    <t>A28813244</t>
  </si>
  <si>
    <t>2025N1070003</t>
  </si>
  <si>
    <t>Formación de dos ediciones de la actividad formativa Prevención de Riesgos Laborales: nivel básico para personal del INE”</t>
  </si>
  <si>
    <t>B98844574</t>
  </si>
  <si>
    <t>2025N1070004</t>
  </si>
  <si>
    <t>Formación para los siguientes cursos en materia de prestación de servicios, administración de directorios activos y calidad del SW, dirigidos al personal del Instituto Nacional de Estadística: ITL v4 Fundamentos, Directorio Activo y Git con Gitlab y GitHub</t>
  </si>
  <si>
    <t>B83540112</t>
  </si>
  <si>
    <t>2025N1070006</t>
  </si>
  <si>
    <t>Formación para la impartición de cursos en materia de programación avanzada dirigidos al personal de las unidades técnicas del Instituto Nacional de Estadística</t>
  </si>
  <si>
    <t>2025N1070010</t>
  </si>
  <si>
    <t>Formación para la impartición de los cursos en materia de comunicaciones: gestión, supervisión y análisis de redes, dirigidos al personal de la S.G. de Tecnologías de la Información y las Comunicaciones del INE</t>
  </si>
  <si>
    <t>2025N1071015</t>
  </si>
  <si>
    <t>Servicio de mantenimiento integral de equipos multifunción CANON en las dependencias de los Servicios Centrales del Instituto Nacional de Estadística en Madrid</t>
  </si>
  <si>
    <t>B91509281</t>
  </si>
  <si>
    <t>2025N1071020</t>
  </si>
  <si>
    <t>Suministro de material de oficina para el almacén de los SSCC del INE en Madrid</t>
  </si>
  <si>
    <t>A84036391</t>
  </si>
  <si>
    <t>2025N1071024</t>
  </si>
  <si>
    <t>Servicio de estudio de espacios en la sede del Instituto Nacional de Estadística en Avenida de Manoteras, 52 de Madrid</t>
  </si>
  <si>
    <t>01176968N</t>
  </si>
  <si>
    <t>2025N1071025</t>
  </si>
  <si>
    <t>Suministro de herramientas para tareas auxiliares de oficina para las delegaciones Provinciales de Baleares, A Coruña, Las Palmas, Santa Cruz de Tenerife y SSCC del INE</t>
  </si>
  <si>
    <t>2025N1071026</t>
  </si>
  <si>
    <t>Suministro de maquinaria para las delegaciones Provinciales de Álava, Asturias, Girona, Granada, Pontevedra, Las Palmas, Tarragona y SSCC del INE</t>
  </si>
  <si>
    <t>B85358612</t>
  </si>
  <si>
    <t>2025N1071029</t>
  </si>
  <si>
    <t>Servicio de suscripción de prensa escrita en formato digital y acceso al contenido web de periódicos online para Presidencia, Directores Generales, Subdirectores Generales, Asesores/Consejeros y Gabinete de Prensa del Instituto Nacional de Estadística</t>
  </si>
  <si>
    <t>B86195922</t>
  </si>
  <si>
    <t>2025N1073001</t>
  </si>
  <si>
    <t>Suministro e instalación de cuatro termos eléctricos, situados en las plantas baja, primera y segunda de la sede del INE, ubicada en la calle Poeta Joan Maragall 51, Madrid</t>
  </si>
  <si>
    <t>2025N1073002</t>
  </si>
  <si>
    <t>Suministro e instalación de equipos contra intrusión para la adaptación del sistema de alarma de Seguridad a la normativa vigente, en la Delegación del INE en Pontevedra, ubicada en la calle Iglesias Vilarelle 2</t>
  </si>
  <si>
    <t>A78917465</t>
  </si>
  <si>
    <t>2025N1073004</t>
  </si>
  <si>
    <t>Suministro e instalación, para la sustitución de elementos en el sistema de detección y extinción de incendios, en la Delegación Provincial del INE, ubicada en la Avenida Alcalde José Ramírez Bethencourt 21, Las Palmas de Gran Canaria</t>
  </si>
  <si>
    <t>A87045498</t>
  </si>
  <si>
    <t>2025N1073005</t>
  </si>
  <si>
    <t>Suministro e instalación de un termo eléctrico, situado en el cuarto de limpieza de la D.P. del Instituto Nacional de Estadística (INE) de Orense, ubicada en la calle Salvador Dalí, 13-15 bajo (0urense)</t>
  </si>
  <si>
    <t>J32282402</t>
  </si>
  <si>
    <t>2025N1073008</t>
  </si>
  <si>
    <t>Suministro e instalación de dos termos eléctricos, situados en los aseos de las plantas baja y primera de la Delegación Provincial del Instituto Nacional de Estadística (INE) en Ávila, ubicada en la calle Intendente Aizpuru, 4, Ávila.</t>
  </si>
  <si>
    <t>B05228424</t>
  </si>
  <si>
    <t>2025N1073010</t>
  </si>
  <si>
    <t>Servicio de mediciones para estimar el promedio anual de concentración de gas radón en las Delegaciones Provinciales del INE en A Coruña, Lugo y Pontevedra</t>
  </si>
  <si>
    <t>B15518830</t>
  </si>
  <si>
    <t>2025N1073011</t>
  </si>
  <si>
    <t>Servicio de mediciones para estimar el promedio anual de concentración de gas radón en la Delegación Provincial del INE en Ávila</t>
  </si>
  <si>
    <t>2025N1073014</t>
  </si>
  <si>
    <t>Obra para la adecuación acústica de la sala de reuniones segura del edificio de servicios centrales del Instituto Nacional de Estadística sito en Avenida Manoteras 50-52 (Madrid)</t>
  </si>
  <si>
    <t>A60470127</t>
  </si>
  <si>
    <t>2025N1073015</t>
  </si>
  <si>
    <t>Suministro e Instalación de cámaras de vigilancia para edificios de servicios centrales del Instituto Nacional de Estadística</t>
  </si>
  <si>
    <t>A20202487</t>
  </si>
  <si>
    <t>2025N1073016</t>
  </si>
  <si>
    <t>Suministro de equipos portátiles de climatización para atender las necesidades de Servicios Centrales y las Delegaciones Provinciales</t>
  </si>
  <si>
    <t>B97063317</t>
  </si>
  <si>
    <t>2025N1073017</t>
  </si>
  <si>
    <t>Alquiler de aulas para la celebración del ejercicio único del proceso selectivo para ingreso, por el sistema general de acceso libre y promoción interna, en el Cuerpo General Administrativo de la Administración del Estado, especialidad Estadística</t>
  </si>
  <si>
    <t>Q2818013A</t>
  </si>
  <si>
    <t>2025N1073023</t>
  </si>
  <si>
    <t>Toma de datos a varias DDPP del INE para la elaboración de la Evaluación General de Riesgos, el documento de la Planificación de la Actividad Preventiva y el desarrollo del Plan de Emergencias</t>
  </si>
  <si>
    <t>B97673453</t>
  </si>
  <si>
    <t>2025N1073026</t>
  </si>
  <si>
    <t>Redacción del Proyecto básico y de ejecución para la renovación integral del sistema de climatización y gestión de licencias en la sede de la Delegación Provincial de Las Palmas de Gran Canaria del Instituto Nacional de Estadística</t>
  </si>
  <si>
    <t>43641724Y</t>
  </si>
  <si>
    <t>2025N1073031</t>
  </si>
  <si>
    <t>Obra para la ejecución de los trabajos de pintura en la Delegación del Instituto Nacional de Estadística (INE) en Bizkaia</t>
  </si>
  <si>
    <t>B95530655</t>
  </si>
  <si>
    <t>2025N1073032</t>
  </si>
  <si>
    <t>Suministro e instalación de cortinas tipo estor en la Delegación del INE en Sevilla, situado en Av. de la Palmera 19C, Sevilla</t>
  </si>
  <si>
    <t>B41446329</t>
  </si>
  <si>
    <t>2025N1073034</t>
  </si>
  <si>
    <t>Obra para la instalación de tres equipos en el sistema de climatización del D.P. del Instituto Nacional de Estadística en Málaga</t>
  </si>
  <si>
    <t>B67649715</t>
  </si>
  <si>
    <t>2025N1073040</t>
  </si>
  <si>
    <t>Obra para la renovación del sistema de iluminación en la instalación eléctrica de la D.P. Las Palmas de Gran Canaria del Instituto Nacional de Estadística</t>
  </si>
  <si>
    <t>2025N1073062</t>
  </si>
  <si>
    <t>Suministro e instalación de equipo de videograbación para el sistema de vigilancia en la Delegación Provincial del Instituto Nacional de Estadística (INE) en Madrid, ubicada en la calla Trafalgar, 27-29, Madrid</t>
  </si>
  <si>
    <t>B88570528</t>
  </si>
  <si>
    <t>2025N1073065</t>
  </si>
  <si>
    <t>Obra para la instalación de un equipo en el sistema de climatización, de la Delegación del Instituto Nacional de Estadística (INE) en Tarragona</t>
  </si>
  <si>
    <t>26448653X</t>
  </si>
  <si>
    <t>2025N1073066</t>
  </si>
  <si>
    <t>Suministro e instalación de una puerta de salida de emergencia en la sede del INE de la calle Poeta Joan Maragall, 51 de Madrid</t>
  </si>
  <si>
    <t>B40221921</t>
  </si>
  <si>
    <t>2025N1073067</t>
  </si>
  <si>
    <t>Suministro e instalación de carpintería metálica y reja interior en la delegación Provincial del Instituto Nacional de Estadística (INE) de San Sebastián (Guipúzcoa)</t>
  </si>
  <si>
    <t>B20708590</t>
  </si>
  <si>
    <t>2025N1073068</t>
  </si>
  <si>
    <t>Obra para la renovación del sistema de iluminación en la instalación eléctrica de la Delegación Provincial del Instituto Nacional de Estadística (INE) ubicada en calle Salvador dalí,13-15 Bajo, Ourense</t>
  </si>
  <si>
    <t>B32501298</t>
  </si>
  <si>
    <t>2025N1073069</t>
  </si>
  <si>
    <t>Obra para la instalación de un equipo en el sistema de climatización de la delegación del INE en Guipúzcoa</t>
  </si>
  <si>
    <t>A20071429</t>
  </si>
  <si>
    <t>2025N1073070</t>
  </si>
  <si>
    <t>Redacción del anteproyecto, proyecto básico y proyecto de ejecución para la renovación integral del sistema de climatización, mejora de la eficiencia energética y gestión de licencias en la Delegación del INE, ubicada en Plaza del Ensanche 3, Bilbao, Bizkaia</t>
  </si>
  <si>
    <t>B20741054</t>
  </si>
  <si>
    <t>2025N1073073</t>
  </si>
  <si>
    <t>Modificación de la distribución de algunas zonas del edificio de Servicios Centrales del INE sito en avenida de Manoteras, 50-52 de Madrid</t>
  </si>
  <si>
    <t>B86657764</t>
  </si>
  <si>
    <t>2025N1073074</t>
  </si>
  <si>
    <t>Servicio de mantenimiento de los sistemas de vigilancia y control de accesos de los edificios de los Servicios Centrales (SSCC) del Instituto Nacional de Estadística (INE) en Madrid</t>
  </si>
  <si>
    <t>2025N1073075</t>
  </si>
  <si>
    <t>Servicio de prevención y control de la legionelosis y de la calidad del aire interior de los edificios de los servicios centrales (SSCC) del Instituto Nacional de Estadística</t>
  </si>
  <si>
    <t>A30020192</t>
  </si>
  <si>
    <t>2025N1073079</t>
  </si>
  <si>
    <t>Suministro e instalación de un acumulador de agua, en la instalación de agua caliente sanitaria, en la D.P del INE en Lugo</t>
  </si>
  <si>
    <t>B27446327</t>
  </si>
  <si>
    <t>2025N1073083</t>
  </si>
  <si>
    <t>Obra para la renovación del sistema de iluminación en la instalación eléctrica de la Delegación Provincial del INE en Cádiz</t>
  </si>
  <si>
    <t>B11275880</t>
  </si>
  <si>
    <t>2025N1073084</t>
  </si>
  <si>
    <t>Suministro e instalación de un termo eléctrico, situado en la planta primera de la sede del INE, ubicada en la calle Iglesias Vilarelle 2, de Pontevedra</t>
  </si>
  <si>
    <t>B-36589497</t>
  </si>
  <si>
    <t>2025N1073090</t>
  </si>
  <si>
    <t>Servicio para la realización de la evaluación general de riesgos psicosociales en Servicios Centrales y Delegación provincial del Instituto Nacional de Estadística de Madrid</t>
  </si>
  <si>
    <t>2025N1073093</t>
  </si>
  <si>
    <t>Obra para la subsanación de deficiencias en la instalación eléctrica y renovación del sistema de iluminación, en la Delegación Provincial del Instituto Nacional de Estadística (INE), en Bizkaia, ubicada en Plaza del Ensanche 3, Bilbao, Bizkaia</t>
  </si>
  <si>
    <t>B95293205</t>
  </si>
  <si>
    <t>2025N1073009</t>
  </si>
  <si>
    <t>Suministro de extintores para las distintas Delegaciones y Servicios Centrales del Instituto Nacional de Estadística</t>
  </si>
  <si>
    <t>BASADO EN ACUERDO MARCO</t>
  </si>
  <si>
    <t>Invitación PLACSP</t>
  </si>
  <si>
    <t>A398/2025</t>
  </si>
  <si>
    <t>2025P0074017</t>
  </si>
  <si>
    <t>Prórroga del contrato 4097/2022. Servicio de mantenimiento de Aplicaciones Informáticas de gestión del Padrón Continuo con destino al Instituto Nacional de Estadística</t>
  </si>
  <si>
    <t>ESPECÍFICO DE SISTEMA DINÁMICO</t>
  </si>
  <si>
    <t>A453/2025</t>
  </si>
  <si>
    <t>2025N0074003</t>
  </si>
  <si>
    <t>Suministro de 222 impresoras láser personales B/N con destino al Instituto Nacional de Estadística</t>
  </si>
  <si>
    <t>A483/2025</t>
  </si>
  <si>
    <t>2025N0074002</t>
  </si>
  <si>
    <t>Suscripciones de los cortafuegos de redes externas con destino al Instituto Nacional de Estadística</t>
  </si>
  <si>
    <t>A724/2025</t>
  </si>
  <si>
    <t>2025N0074001</t>
  </si>
  <si>
    <t>Suministro de software de análisis y visualización de datos y servicios de soporte</t>
  </si>
  <si>
    <t>A1883/2025</t>
  </si>
  <si>
    <t>2025N1073037</t>
  </si>
  <si>
    <t>Suministro de extintores de contratación centralizada para la Delegación Provincial del Instituto Nacional de Estadística en León</t>
  </si>
  <si>
    <t>A2528/2025</t>
  </si>
  <si>
    <t>2025N0074005</t>
  </si>
  <si>
    <t>Exp. del INE nº 2025N0074005 (UGAE 70420250021) - Herramienta de migración de licencias office365 a tenant del Instituto Nacional de Estadística</t>
  </si>
  <si>
    <t>A2695/2025</t>
  </si>
  <si>
    <t>2025N1071023</t>
  </si>
  <si>
    <t>Suministro e instalación de 76 destructoras departamentales de documentación confidencial para distintas Delegaciones del INE y los Servicios Centrales en Madrid</t>
  </si>
  <si>
    <t>A3178/2025</t>
  </si>
  <si>
    <t>2025N1071018</t>
  </si>
  <si>
    <t>Adquisición de 73 equipos multifuncionales de producción color y consumibles para distintas delegaciones provinciales del INE y sus Servicios Centrales</t>
  </si>
  <si>
    <t>A3787/2025</t>
  </si>
  <si>
    <t>2025N0074023</t>
  </si>
  <si>
    <t>Suscripciones de los cortafuegos de redes internas</t>
  </si>
  <si>
    <t>A5025/2025</t>
  </si>
  <si>
    <t>2025N1073087</t>
  </si>
  <si>
    <t>Contrato basado en el AM 23/2024 de suministros de energía eléctrica. Lote 3. Agrupación 8157</t>
  </si>
  <si>
    <t>A5495/2025</t>
  </si>
  <si>
    <t>2025N1073088</t>
  </si>
  <si>
    <t>Contrato basado en el AM 23/2024 de suministros de energía eléctrica. Lote 4. Agrupación 8172</t>
  </si>
  <si>
    <t>A5515/2025</t>
  </si>
  <si>
    <t>2025N1073100</t>
  </si>
  <si>
    <t>Contrato basado en el AM 23/2024 de suministros de energía eléctrica.Suministro de energía eléctrica para los Servicios Centrales y Delegaciones Provinciales Peninsulares del INE durante el periodo 01/01/2026-31/12/2026. Lote 1. Agrupación 8178</t>
  </si>
  <si>
    <t>A6014/2025</t>
  </si>
  <si>
    <t>2025N1070005</t>
  </si>
  <si>
    <t>Formación para la impartición de cursos en materia de tecnologías de desarrollo, dirigidos al personal de las unidades técnicas del Instituto Nacional de Estadística.</t>
  </si>
  <si>
    <t>Desierto</t>
  </si>
  <si>
    <t>2025N1073035</t>
  </si>
  <si>
    <t>Contrato de suministro e instalación de equipos de detección y extinción de incendios en la Delegación Provincial del INE en A Coruña.</t>
  </si>
  <si>
    <t>2025N1073080</t>
  </si>
  <si>
    <t>Elaboración de informe técnico, redacción de proyecto básico y de ejecución, estudio de seguridad y salud y/o estudio básico, gestión de licencias, para subsanar las filtraciones de agua en la planta semisótano de la Delegación Provincial del INE en Barcelona</t>
  </si>
  <si>
    <t>Suministros</t>
  </si>
  <si>
    <t>Servicios</t>
  </si>
  <si>
    <t>Obras</t>
  </si>
  <si>
    <t>Abierto</t>
  </si>
  <si>
    <t>Abierto simplificado</t>
  </si>
  <si>
    <t>Abierto simplificado abreviado</t>
  </si>
  <si>
    <t>Basado en Acuerdo Marco</t>
  </si>
  <si>
    <t>Específico de sistema dinámico de adquisición</t>
  </si>
  <si>
    <t>Restringido</t>
  </si>
  <si>
    <t>Negociado sin publicidad</t>
  </si>
  <si>
    <t>Otros  (Contrato menor)</t>
  </si>
  <si>
    <t>Tipo de contrato</t>
  </si>
  <si>
    <t>Nº de contratos adjudicados</t>
  </si>
  <si>
    <t>Importe adjudicación (IVA incluido)</t>
  </si>
  <si>
    <t>Porcentaje sobre el total</t>
  </si>
  <si>
    <t>TOTAL</t>
  </si>
  <si>
    <t>TOTALES</t>
  </si>
  <si>
    <t>PYMES EN CONTRATOS ABIERTOS</t>
  </si>
  <si>
    <t>Número de ofertas presentadas</t>
  </si>
  <si>
    <t>Número de contratos adjudicados</t>
  </si>
  <si>
    <t>Importe de los contratos adjudicados</t>
  </si>
  <si>
    <t>Porcentaje participación</t>
  </si>
  <si>
    <t>Porcentaje importe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</si>
</sst>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C0A]_-;\-* #,##0.00\ [$€-C0A]_-;_-* &quot;-&quot;??\ [$€-C0A]_-;_-@_-"/>
    <numFmt numFmtId="165" formatCode="_-* #,##0\ &quot;€&quot;_-;\-* #,##0\ &quot;€&quot;_-;_-* 0\ &quot;€&quot;_-;_-@_-"/>
    <numFmt numFmtId="166" formatCode="0.0%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 applyAlignment="1">
      <alignment horizontal="center" vertical="center"/>
    </xf>
    <xf numFmtId="1" fontId="6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8" fontId="5" fillId="0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4" fontId="5" fillId="2" borderId="1" xfId="2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8" fontId="5" fillId="2" borderId="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44" fontId="5" fillId="2" borderId="2" xfId="2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4" fontId="5" fillId="0" borderId="0" xfId="2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1" fontId="0" fillId="0" borderId="11" xfId="0" applyNumberFormat="1" applyBorder="1"/>
    <xf numFmtId="0" fontId="0" fillId="0" borderId="12" xfId="0" applyBorder="1"/>
    <xf numFmtId="44" fontId="0" fillId="0" borderId="12" xfId="2" applyFont="1" applyBorder="1"/>
    <xf numFmtId="166" fontId="0" fillId="0" borderId="12" xfId="1" applyNumberFormat="1" applyFont="1" applyBorder="1"/>
    <xf numFmtId="166" fontId="0" fillId="0" borderId="13" xfId="1" applyNumberFormat="1" applyFont="1" applyBorder="1"/>
    <xf numFmtId="0" fontId="0" fillId="0" borderId="8" xfId="0" applyBorder="1"/>
    <xf numFmtId="0" fontId="0" fillId="0" borderId="7" xfId="0" applyBorder="1" applyAlignment="1">
      <alignment horizontal="center"/>
    </xf>
    <xf numFmtId="165" fontId="0" fillId="0" borderId="9" xfId="3" applyNumberFormat="1" applyFont="1" applyFill="1" applyBorder="1" applyAlignment="1">
      <alignment horizontal="center"/>
    </xf>
    <xf numFmtId="10" fontId="0" fillId="0" borderId="10" xfId="1" applyNumberFormat="1" applyFont="1" applyFill="1" applyBorder="1" applyAlignment="1">
      <alignment horizontal="right"/>
    </xf>
    <xf numFmtId="0" fontId="0" fillId="0" borderId="15" xfId="0" applyBorder="1"/>
    <xf numFmtId="0" fontId="0" fillId="0" borderId="14" xfId="0" applyBorder="1" applyAlignment="1">
      <alignment horizontal="center"/>
    </xf>
    <xf numFmtId="165" fontId="0" fillId="0" borderId="0" xfId="3" applyNumberFormat="1" applyFont="1" applyFill="1" applyBorder="1" applyAlignment="1">
      <alignment horizontal="center"/>
    </xf>
    <xf numFmtId="10" fontId="0" fillId="0" borderId="16" xfId="1" applyNumberFormat="1" applyFont="1" applyFill="1" applyBorder="1" applyAlignment="1">
      <alignment horizontal="right"/>
    </xf>
    <xf numFmtId="0" fontId="0" fillId="0" borderId="17" xfId="0" applyBorder="1"/>
    <xf numFmtId="0" fontId="0" fillId="0" borderId="11" xfId="0" applyBorder="1" applyAlignment="1">
      <alignment horizontal="center"/>
    </xf>
    <xf numFmtId="165" fontId="0" fillId="0" borderId="12" xfId="3" applyNumberFormat="1" applyFont="1" applyFill="1" applyBorder="1" applyAlignment="1">
      <alignment horizontal="center"/>
    </xf>
    <xf numFmtId="10" fontId="0" fillId="0" borderId="13" xfId="1" applyNumberFormat="1" applyFont="1" applyFill="1" applyBorder="1" applyAlignment="1">
      <alignment horizontal="right"/>
    </xf>
    <xf numFmtId="0" fontId="1" fillId="0" borderId="17" xfId="0" applyFont="1" applyBorder="1"/>
    <xf numFmtId="0" fontId="1" fillId="0" borderId="12" xfId="0" applyFont="1" applyBorder="1" applyAlignment="1">
      <alignment horizontal="center"/>
    </xf>
    <xf numFmtId="165" fontId="1" fillId="0" borderId="12" xfId="3" applyNumberFormat="1" applyFont="1" applyFill="1" applyBorder="1" applyAlignment="1">
      <alignment horizontal="center"/>
    </xf>
    <xf numFmtId="10" fontId="1" fillId="0" borderId="13" xfId="1" applyNumberFormat="1" applyFont="1" applyFill="1" applyBorder="1" applyAlignment="1">
      <alignment horizontal="right"/>
    </xf>
    <xf numFmtId="0" fontId="8" fillId="0" borderId="19" xfId="0" applyFont="1" applyBorder="1" applyAlignment="1">
      <alignment horizontal="center"/>
    </xf>
    <xf numFmtId="165" fontId="8" fillId="0" borderId="19" xfId="3" applyNumberFormat="1" applyFont="1" applyFill="1" applyBorder="1" applyAlignment="1">
      <alignment horizontal="center"/>
    </xf>
    <xf numFmtId="10" fontId="8" fillId="0" borderId="20" xfId="1" applyNumberFormat="1" applyFont="1" applyFill="1" applyBorder="1" applyAlignment="1">
      <alignment horizontal="right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4" fontId="4" fillId="3" borderId="0" xfId="2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_-* #,##0.00\ [$€-C0A]_-;\-* #,##0.00\ [$€-C0A]_-;_-* &quot;-&quot;??\ [$€-C0A]_-;_-@_-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AA6BE14-663B-4685-9F5F-06F8EA63D25C}" name="Tabla4" displayName="Tabla4" ref="A1:R122" totalsRowShown="0" headerRowDxfId="0" dataDxfId="19">
  <autoFilter ref="A1:R122" xr:uid="{6AA6BE14-663B-4685-9F5F-06F8EA63D25C}"/>
  <sortState xmlns:xlrd2="http://schemas.microsoft.com/office/spreadsheetml/2017/richdata2" ref="A2:R109">
    <sortCondition ref="A1:A109"/>
  </sortState>
  <tableColumns count="18">
    <tableColumn id="1" xr3:uid="{A1F429D2-6672-43C9-BF78-B60278B2DB98}" name="Nº Expediente" dataDxfId="18"/>
    <tableColumn id="2" xr3:uid="{1DC0EF30-F7D7-48AE-A8CA-FB1DD74F4EBA}" name="Objeto" dataDxfId="17"/>
    <tableColumn id="18" xr3:uid="{70CBF5DF-05DE-4803-939E-FAFA7FE87837}" name="Promotora" dataDxfId="16"/>
    <tableColumn id="8" xr3:uid="{BAA71523-D3F1-4F23-A1B3-020EABF7C779}" name="Ámbito" dataDxfId="15"/>
    <tableColumn id="7" xr3:uid="{3D41CF66-EBE9-4C31-942A-68E3D14EBA63}" name="Anuncio previo" dataDxfId="14"/>
    <tableColumn id="3" xr3:uid="{28BF4929-846A-4288-899F-64DBAE49AF7B}" name="Tipo" dataDxfId="13"/>
    <tableColumn id="4" xr3:uid="{7E3F9069-2FC0-4F60-B611-DBABABE35A43}" name="Duración (en meses)" dataDxfId="12"/>
    <tableColumn id="5" xr3:uid="{8B0B5082-146E-4372-9CC6-35D19CC3C835}" name="Procedimiento" dataDxfId="11"/>
    <tableColumn id="17" xr3:uid="{98DC450E-E2A9-46D8-B259-BB942E7C7D0B}" name="Publicidad" dataDxfId="10"/>
    <tableColumn id="6" xr3:uid="{9EDBAA97-7F0A-4581-BAAA-8BF23252CC81}" name="Anualidad tramitación" dataDxfId="9"/>
    <tableColumn id="11" xr3:uid="{B4FDA66A-D80E-4489-AEB7-DA36E5DF8F42}" name="Estado" dataDxfId="8"/>
    <tableColumn id="12" xr3:uid="{CD69FE43-9798-42DF-B79A-193A1712DEEC}" name="Fecha adjudicación" dataDxfId="7"/>
    <tableColumn id="14" xr3:uid="{D6D511F8-66C7-440E-AA97-755C4B73998E}" name="Adjudicatario (NIF)" dataDxfId="6"/>
    <tableColumn id="10" xr3:uid="{9D4E1E5B-A68A-40D8-ADEE-1B416D44EE7E}" name="¿PYME?" dataDxfId="5"/>
    <tableColumn id="9" xr3:uid="{49E7A0D9-E8B4-40CF-95C0-0B20E0693078}" name="Número de empresas licitadoras" dataDxfId="4"/>
    <tableColumn id="16" xr3:uid="{DD75144B-8F36-49DA-AF49-6C3FB4332D8A}" name="Número de empresas licitadoras pymes" dataDxfId="3"/>
    <tableColumn id="15" xr3:uid="{50D8E6F6-F509-4029-A330-D3A449B0A4BB}" name="Importe IVA incluido de licitación" dataDxfId="2" dataCellStyle="Moneda"/>
    <tableColumn id="13" xr3:uid="{56A9B032-77B8-4DB8-B429-0D016BE860D7}" name="Importe IVA incluido de la adjudicación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8A10-D555-47FD-9501-33BA653B8D98}">
  <dimension ref="A1:S123"/>
  <sheetViews>
    <sheetView tabSelected="1" zoomScaleNormal="100" workbookViewId="0">
      <selection activeCell="A2" sqref="A2"/>
    </sheetView>
  </sheetViews>
  <sheetFormatPr baseColWidth="10" defaultColWidth="10.85546875" defaultRowHeight="14.25" x14ac:dyDescent="0.25"/>
  <cols>
    <col min="1" max="1" width="25.5703125" style="1" customWidth="1"/>
    <col min="2" max="2" width="46.42578125" style="1" customWidth="1"/>
    <col min="3" max="3" width="4.85546875" style="1" hidden="1" customWidth="1"/>
    <col min="4" max="4" width="12.28515625" style="1" customWidth="1"/>
    <col min="5" max="5" width="18.28515625" style="1" hidden="1" customWidth="1"/>
    <col min="6" max="6" width="14.7109375" style="1" customWidth="1"/>
    <col min="7" max="7" width="12.85546875" style="1" customWidth="1"/>
    <col min="8" max="8" width="20" style="1" customWidth="1"/>
    <col min="9" max="9" width="19.140625" style="1" bestFit="1" customWidth="1"/>
    <col min="10" max="10" width="28.140625" style="1" hidden="1" customWidth="1"/>
    <col min="11" max="11" width="15.7109375" style="1" customWidth="1"/>
    <col min="12" max="12" width="15.42578125" style="1" customWidth="1"/>
    <col min="13" max="13" width="21.140625" style="1" bestFit="1" customWidth="1"/>
    <col min="14" max="14" width="15.28515625" style="1" bestFit="1" customWidth="1"/>
    <col min="15" max="15" width="13" style="34" customWidth="1"/>
    <col min="16" max="16" width="13.140625" style="34" customWidth="1"/>
    <col min="17" max="17" width="16.85546875" style="37" customWidth="1"/>
    <col min="18" max="18" width="17.85546875" style="1" customWidth="1"/>
    <col min="19" max="19" width="15.5703125" style="1" bestFit="1" customWidth="1"/>
    <col min="20" max="22" width="12.42578125" style="1"/>
    <col min="23" max="16384" width="10.85546875" style="1"/>
  </cols>
  <sheetData>
    <row r="1" spans="1:19" ht="71.25" customHeight="1" x14ac:dyDescent="0.25">
      <c r="A1" s="71" t="s">
        <v>0</v>
      </c>
      <c r="B1" s="71" t="s">
        <v>1</v>
      </c>
      <c r="C1" s="71" t="s">
        <v>2</v>
      </c>
      <c r="D1" s="71" t="s">
        <v>3</v>
      </c>
      <c r="E1" s="71" t="s">
        <v>4</v>
      </c>
      <c r="F1" s="71" t="s">
        <v>5</v>
      </c>
      <c r="G1" s="72" t="s">
        <v>6</v>
      </c>
      <c r="H1" s="71" t="s">
        <v>7</v>
      </c>
      <c r="I1" s="71" t="s">
        <v>8</v>
      </c>
      <c r="J1" s="72" t="s">
        <v>9</v>
      </c>
      <c r="K1" s="72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2" t="s">
        <v>15</v>
      </c>
      <c r="Q1" s="73" t="s">
        <v>16</v>
      </c>
      <c r="R1" s="74" t="s">
        <v>17</v>
      </c>
    </row>
    <row r="2" spans="1:19" ht="123.6" customHeight="1" x14ac:dyDescent="0.25">
      <c r="A2" s="2" t="s">
        <v>18</v>
      </c>
      <c r="B2" s="3" t="s">
        <v>19</v>
      </c>
      <c r="C2" s="3"/>
      <c r="D2" s="3" t="s">
        <v>20</v>
      </c>
      <c r="E2" s="3"/>
      <c r="F2" s="4" t="s">
        <v>21</v>
      </c>
      <c r="G2" s="4">
        <v>12</v>
      </c>
      <c r="H2" s="3" t="s">
        <v>22</v>
      </c>
      <c r="I2" s="3" t="s">
        <v>23</v>
      </c>
      <c r="J2" s="4">
        <v>2025</v>
      </c>
      <c r="K2" s="4" t="s">
        <v>24</v>
      </c>
      <c r="L2" s="5">
        <v>45686</v>
      </c>
      <c r="M2" s="5" t="s">
        <v>25</v>
      </c>
      <c r="N2" s="5" t="s">
        <v>26</v>
      </c>
      <c r="O2" s="6">
        <v>3</v>
      </c>
      <c r="P2" s="6">
        <v>0</v>
      </c>
      <c r="Q2" s="7">
        <v>2810830</v>
      </c>
      <c r="R2" s="8">
        <v>1693395</v>
      </c>
    </row>
    <row r="3" spans="1:19" ht="96" customHeight="1" x14ac:dyDescent="0.25">
      <c r="A3" s="2" t="s">
        <v>27</v>
      </c>
      <c r="B3" s="3" t="s">
        <v>28</v>
      </c>
      <c r="C3" s="3"/>
      <c r="D3" s="3" t="s">
        <v>20</v>
      </c>
      <c r="E3" s="3"/>
      <c r="F3" s="4" t="s">
        <v>21</v>
      </c>
      <c r="G3" s="4">
        <v>12</v>
      </c>
      <c r="H3" s="3" t="s">
        <v>22</v>
      </c>
      <c r="I3" s="3" t="s">
        <v>23</v>
      </c>
      <c r="J3" s="4">
        <v>2025</v>
      </c>
      <c r="K3" s="4" t="s">
        <v>24</v>
      </c>
      <c r="L3" s="5">
        <v>45686</v>
      </c>
      <c r="M3" s="5" t="s">
        <v>29</v>
      </c>
      <c r="N3" s="5" t="s">
        <v>26</v>
      </c>
      <c r="O3" s="6">
        <v>1</v>
      </c>
      <c r="P3" s="6">
        <v>0</v>
      </c>
      <c r="Q3" s="7">
        <v>269830</v>
      </c>
      <c r="R3" s="8">
        <v>258694.06</v>
      </c>
    </row>
    <row r="4" spans="1:19" ht="42.75" x14ac:dyDescent="0.25">
      <c r="A4" s="9" t="s">
        <v>30</v>
      </c>
      <c r="B4" s="3" t="s">
        <v>31</v>
      </c>
      <c r="C4" s="3"/>
      <c r="D4" s="3" t="s">
        <v>20</v>
      </c>
      <c r="E4" s="3"/>
      <c r="F4" s="4" t="s">
        <v>21</v>
      </c>
      <c r="G4" s="4">
        <v>6</v>
      </c>
      <c r="H4" s="3" t="s">
        <v>22</v>
      </c>
      <c r="I4" s="3" t="s">
        <v>23</v>
      </c>
      <c r="J4" s="4">
        <v>2025</v>
      </c>
      <c r="K4" s="4" t="s">
        <v>24</v>
      </c>
      <c r="L4" s="5">
        <v>45694</v>
      </c>
      <c r="M4" s="5" t="s">
        <v>32</v>
      </c>
      <c r="N4" s="5" t="s">
        <v>33</v>
      </c>
      <c r="O4" s="6">
        <v>4</v>
      </c>
      <c r="P4" s="6">
        <v>4</v>
      </c>
      <c r="Q4" s="7">
        <v>1305291.74</v>
      </c>
      <c r="R4" s="7">
        <v>931129.49</v>
      </c>
    </row>
    <row r="5" spans="1:19" ht="85.5" x14ac:dyDescent="0.25">
      <c r="A5" s="9" t="s">
        <v>34</v>
      </c>
      <c r="B5" s="3" t="s">
        <v>35</v>
      </c>
      <c r="C5" s="3"/>
      <c r="D5" s="3" t="s">
        <v>20</v>
      </c>
      <c r="E5" s="3"/>
      <c r="F5" s="4" t="s">
        <v>21</v>
      </c>
      <c r="G5" s="4">
        <v>36</v>
      </c>
      <c r="H5" s="3" t="s">
        <v>22</v>
      </c>
      <c r="I5" s="3" t="s">
        <v>23</v>
      </c>
      <c r="J5" s="4">
        <v>2025</v>
      </c>
      <c r="K5" s="4" t="s">
        <v>24</v>
      </c>
      <c r="L5" s="5">
        <v>45698</v>
      </c>
      <c r="M5" s="5" t="s">
        <v>36</v>
      </c>
      <c r="N5" s="5" t="s">
        <v>26</v>
      </c>
      <c r="O5" s="6">
        <v>5</v>
      </c>
      <c r="P5" s="6">
        <v>1</v>
      </c>
      <c r="Q5" s="7">
        <v>2866450.12</v>
      </c>
      <c r="R5" s="8">
        <v>2321824.59</v>
      </c>
      <c r="S5" s="10"/>
    </row>
    <row r="6" spans="1:19" ht="114" x14ac:dyDescent="0.25">
      <c r="A6" s="9" t="s">
        <v>37</v>
      </c>
      <c r="B6" s="3" t="s">
        <v>38</v>
      </c>
      <c r="C6" s="3"/>
      <c r="D6" s="3" t="s">
        <v>20</v>
      </c>
      <c r="E6" s="3"/>
      <c r="F6" s="4" t="s">
        <v>21</v>
      </c>
      <c r="G6" s="4">
        <v>24</v>
      </c>
      <c r="H6" s="3" t="s">
        <v>22</v>
      </c>
      <c r="I6" s="3" t="s">
        <v>23</v>
      </c>
      <c r="J6" s="4">
        <v>2025</v>
      </c>
      <c r="K6" s="4" t="s">
        <v>24</v>
      </c>
      <c r="L6" s="5">
        <v>45693</v>
      </c>
      <c r="M6" s="5" t="s">
        <v>39</v>
      </c>
      <c r="N6" s="5" t="s">
        <v>26</v>
      </c>
      <c r="O6" s="6">
        <v>8</v>
      </c>
      <c r="P6" s="6">
        <v>7</v>
      </c>
      <c r="Q6" s="7">
        <v>480000.13</v>
      </c>
      <c r="R6" s="8">
        <v>190680.05</v>
      </c>
    </row>
    <row r="7" spans="1:19" ht="57" x14ac:dyDescent="0.25">
      <c r="A7" s="9" t="s">
        <v>40</v>
      </c>
      <c r="B7" s="3" t="s">
        <v>41</v>
      </c>
      <c r="C7" s="3"/>
      <c r="D7" s="3" t="s">
        <v>20</v>
      </c>
      <c r="E7" s="3"/>
      <c r="F7" s="4" t="s">
        <v>21</v>
      </c>
      <c r="G7" s="4">
        <v>4.5</v>
      </c>
      <c r="H7" s="3" t="s">
        <v>22</v>
      </c>
      <c r="I7" s="3" t="s">
        <v>23</v>
      </c>
      <c r="J7" s="4">
        <v>2025</v>
      </c>
      <c r="K7" s="4" t="s">
        <v>24</v>
      </c>
      <c r="L7" s="5">
        <v>45701</v>
      </c>
      <c r="M7" s="5" t="s">
        <v>42</v>
      </c>
      <c r="N7" s="5" t="s">
        <v>33</v>
      </c>
      <c r="O7" s="6">
        <v>3</v>
      </c>
      <c r="P7" s="6">
        <v>3</v>
      </c>
      <c r="Q7" s="7">
        <v>455011.43</v>
      </c>
      <c r="R7" s="7">
        <v>336664.35</v>
      </c>
    </row>
    <row r="8" spans="1:19" ht="38.1" customHeight="1" x14ac:dyDescent="0.25">
      <c r="A8" s="9" t="s">
        <v>43</v>
      </c>
      <c r="B8" s="3" t="s">
        <v>44</v>
      </c>
      <c r="C8" s="3"/>
      <c r="D8" s="3" t="s">
        <v>20</v>
      </c>
      <c r="E8" s="3"/>
      <c r="F8" s="4" t="s">
        <v>21</v>
      </c>
      <c r="G8" s="4">
        <v>12.5</v>
      </c>
      <c r="H8" s="3" t="s">
        <v>22</v>
      </c>
      <c r="I8" s="3" t="s">
        <v>23</v>
      </c>
      <c r="J8" s="4">
        <v>2025</v>
      </c>
      <c r="K8" s="4" t="s">
        <v>24</v>
      </c>
      <c r="L8" s="5">
        <v>45726</v>
      </c>
      <c r="M8" s="5" t="s">
        <v>45</v>
      </c>
      <c r="N8" s="5"/>
      <c r="O8" s="6">
        <v>3</v>
      </c>
      <c r="P8" s="6"/>
      <c r="Q8" s="7">
        <v>1395372</v>
      </c>
      <c r="R8" s="8">
        <v>1016400</v>
      </c>
    </row>
    <row r="9" spans="1:19" ht="42.95" customHeight="1" x14ac:dyDescent="0.25">
      <c r="A9" s="9" t="s">
        <v>46</v>
      </c>
      <c r="B9" s="3" t="s">
        <v>47</v>
      </c>
      <c r="C9" s="3"/>
      <c r="D9" s="3" t="s">
        <v>20</v>
      </c>
      <c r="E9" s="3"/>
      <c r="F9" s="4" t="s">
        <v>21</v>
      </c>
      <c r="G9" s="4">
        <v>37.5</v>
      </c>
      <c r="H9" s="3" t="s">
        <v>22</v>
      </c>
      <c r="I9" s="3" t="s">
        <v>23</v>
      </c>
      <c r="J9" s="4">
        <v>2025</v>
      </c>
      <c r="K9" s="4" t="s">
        <v>24</v>
      </c>
      <c r="L9" s="5">
        <v>45750</v>
      </c>
      <c r="M9" s="5" t="s">
        <v>48</v>
      </c>
      <c r="N9" s="5" t="s">
        <v>33</v>
      </c>
      <c r="O9" s="6">
        <v>2</v>
      </c>
      <c r="P9" s="6">
        <v>2</v>
      </c>
      <c r="Q9" s="7">
        <v>2653344.87</v>
      </c>
      <c r="R9" s="8">
        <v>2403764.2200000002</v>
      </c>
    </row>
    <row r="10" spans="1:19" ht="89.25" customHeight="1" x14ac:dyDescent="0.25">
      <c r="A10" s="11" t="s">
        <v>49</v>
      </c>
      <c r="B10" s="3" t="s">
        <v>50</v>
      </c>
      <c r="C10" s="3"/>
      <c r="D10" s="3" t="s">
        <v>20</v>
      </c>
      <c r="E10" s="3"/>
      <c r="F10" s="4" t="s">
        <v>21</v>
      </c>
      <c r="G10" s="4">
        <v>24</v>
      </c>
      <c r="H10" s="3" t="s">
        <v>22</v>
      </c>
      <c r="I10" s="3" t="s">
        <v>23</v>
      </c>
      <c r="J10" s="4">
        <v>2025</v>
      </c>
      <c r="K10" s="4" t="s">
        <v>24</v>
      </c>
      <c r="L10" s="5">
        <v>45847</v>
      </c>
      <c r="M10" s="5" t="s">
        <v>51</v>
      </c>
      <c r="N10" s="5" t="s">
        <v>26</v>
      </c>
      <c r="O10" s="6">
        <v>3</v>
      </c>
      <c r="P10" s="6">
        <v>0</v>
      </c>
      <c r="Q10" s="7">
        <v>228809.27</v>
      </c>
      <c r="R10" s="8">
        <v>153813.97</v>
      </c>
    </row>
    <row r="11" spans="1:19" ht="28.5" x14ac:dyDescent="0.25">
      <c r="A11" s="11" t="s">
        <v>52</v>
      </c>
      <c r="B11" s="3" t="s">
        <v>53</v>
      </c>
      <c r="C11" s="3"/>
      <c r="D11" s="3" t="s">
        <v>20</v>
      </c>
      <c r="E11" s="3"/>
      <c r="F11" s="4" t="s">
        <v>21</v>
      </c>
      <c r="G11" s="4">
        <v>6.5</v>
      </c>
      <c r="H11" s="3" t="s">
        <v>22</v>
      </c>
      <c r="I11" s="3" t="s">
        <v>23</v>
      </c>
      <c r="J11" s="4">
        <v>2025</v>
      </c>
      <c r="K11" s="4" t="s">
        <v>24</v>
      </c>
      <c r="L11" s="5">
        <v>45841</v>
      </c>
      <c r="M11" s="5" t="s">
        <v>42</v>
      </c>
      <c r="N11" s="5" t="s">
        <v>33</v>
      </c>
      <c r="O11" s="6">
        <v>2</v>
      </c>
      <c r="P11" s="6">
        <v>2</v>
      </c>
      <c r="Q11" s="7">
        <v>1001471.63</v>
      </c>
      <c r="R11" s="8">
        <v>742561.88</v>
      </c>
    </row>
    <row r="12" spans="1:19" ht="85.5" x14ac:dyDescent="0.25">
      <c r="A12" s="9" t="s">
        <v>54</v>
      </c>
      <c r="B12" s="3" t="s">
        <v>55</v>
      </c>
      <c r="C12" s="3"/>
      <c r="D12" s="3" t="s">
        <v>20</v>
      </c>
      <c r="E12" s="3"/>
      <c r="F12" s="4" t="s">
        <v>21</v>
      </c>
      <c r="G12" s="4">
        <v>36</v>
      </c>
      <c r="H12" s="3" t="s">
        <v>22</v>
      </c>
      <c r="I12" s="3" t="s">
        <v>23</v>
      </c>
      <c r="J12" s="4">
        <v>2025</v>
      </c>
      <c r="K12" s="4" t="s">
        <v>24</v>
      </c>
      <c r="L12" s="5">
        <v>45860</v>
      </c>
      <c r="M12" s="5" t="s">
        <v>56</v>
      </c>
      <c r="N12" s="5" t="s">
        <v>26</v>
      </c>
      <c r="O12" s="6">
        <v>1</v>
      </c>
      <c r="P12" s="6">
        <v>0</v>
      </c>
      <c r="Q12" s="7">
        <v>1619583.16</v>
      </c>
      <c r="R12" s="8">
        <v>1392841.51</v>
      </c>
    </row>
    <row r="13" spans="1:19" ht="66" customHeight="1" x14ac:dyDescent="0.25">
      <c r="A13" s="11" t="s">
        <v>57</v>
      </c>
      <c r="B13" s="3" t="s">
        <v>58</v>
      </c>
      <c r="C13" s="3"/>
      <c r="D13" s="3" t="s">
        <v>59</v>
      </c>
      <c r="E13" s="3"/>
      <c r="F13" s="4" t="s">
        <v>21</v>
      </c>
      <c r="G13" s="4">
        <v>36</v>
      </c>
      <c r="H13" s="3" t="s">
        <v>22</v>
      </c>
      <c r="I13" s="3" t="s">
        <v>23</v>
      </c>
      <c r="J13" s="4">
        <v>2025</v>
      </c>
      <c r="K13" s="4" t="s">
        <v>24</v>
      </c>
      <c r="L13" s="5">
        <v>45866</v>
      </c>
      <c r="M13" s="5" t="s">
        <v>60</v>
      </c>
      <c r="N13" s="5" t="s">
        <v>26</v>
      </c>
      <c r="O13" s="6">
        <v>1</v>
      </c>
      <c r="P13" s="6">
        <v>0</v>
      </c>
      <c r="Q13" s="7">
        <v>368842.05</v>
      </c>
      <c r="R13" s="8">
        <v>279375</v>
      </c>
    </row>
    <row r="14" spans="1:19" ht="99.75" x14ac:dyDescent="0.25">
      <c r="A14" s="2" t="s">
        <v>61</v>
      </c>
      <c r="B14" s="3" t="s">
        <v>62</v>
      </c>
      <c r="C14" s="3"/>
      <c r="D14" s="3" t="s">
        <v>20</v>
      </c>
      <c r="E14" s="3"/>
      <c r="F14" s="4" t="s">
        <v>21</v>
      </c>
      <c r="G14" s="4">
        <v>36</v>
      </c>
      <c r="H14" s="3" t="s">
        <v>22</v>
      </c>
      <c r="I14" s="3" t="s">
        <v>23</v>
      </c>
      <c r="J14" s="4">
        <v>2025</v>
      </c>
      <c r="K14" s="4" t="s">
        <v>24</v>
      </c>
      <c r="L14" s="5">
        <v>45873</v>
      </c>
      <c r="M14" s="5" t="s">
        <v>63</v>
      </c>
      <c r="N14" s="5" t="s">
        <v>33</v>
      </c>
      <c r="O14" s="6">
        <v>15</v>
      </c>
      <c r="P14" s="6">
        <v>3</v>
      </c>
      <c r="Q14" s="7">
        <v>8150762.6299999999</v>
      </c>
      <c r="R14" s="8">
        <v>3765273</v>
      </c>
    </row>
    <row r="15" spans="1:19" ht="85.5" x14ac:dyDescent="0.25">
      <c r="A15" s="2" t="s">
        <v>64</v>
      </c>
      <c r="B15" s="3" t="s">
        <v>65</v>
      </c>
      <c r="C15" s="3"/>
      <c r="D15" s="3" t="s">
        <v>20</v>
      </c>
      <c r="E15" s="3"/>
      <c r="F15" s="4" t="s">
        <v>21</v>
      </c>
      <c r="G15" s="4">
        <v>12</v>
      </c>
      <c r="H15" s="3" t="s">
        <v>22</v>
      </c>
      <c r="I15" s="3" t="s">
        <v>23</v>
      </c>
      <c r="J15" s="4">
        <v>2025</v>
      </c>
      <c r="K15" s="4" t="s">
        <v>24</v>
      </c>
      <c r="L15" s="5">
        <v>45891</v>
      </c>
      <c r="M15" s="5" t="s">
        <v>66</v>
      </c>
      <c r="N15" s="5" t="s">
        <v>26</v>
      </c>
      <c r="O15" s="6">
        <v>6</v>
      </c>
      <c r="P15" s="6">
        <v>0</v>
      </c>
      <c r="Q15" s="7">
        <v>8150762.6299999999</v>
      </c>
      <c r="R15" s="8">
        <v>239716.89</v>
      </c>
    </row>
    <row r="16" spans="1:19" ht="85.5" x14ac:dyDescent="0.25">
      <c r="A16" s="2" t="s">
        <v>67</v>
      </c>
      <c r="B16" s="3" t="s">
        <v>68</v>
      </c>
      <c r="C16" s="3"/>
      <c r="D16" s="3" t="s">
        <v>20</v>
      </c>
      <c r="E16" s="3"/>
      <c r="F16" s="4" t="s">
        <v>21</v>
      </c>
      <c r="G16" s="4">
        <v>12</v>
      </c>
      <c r="H16" s="3" t="s">
        <v>22</v>
      </c>
      <c r="I16" s="3" t="s">
        <v>23</v>
      </c>
      <c r="J16" s="4">
        <v>2025</v>
      </c>
      <c r="K16" s="4" t="s">
        <v>24</v>
      </c>
      <c r="L16" s="5">
        <v>45860</v>
      </c>
      <c r="M16" s="5" t="s">
        <v>69</v>
      </c>
      <c r="N16" s="5" t="s">
        <v>26</v>
      </c>
      <c r="O16" s="6">
        <v>10</v>
      </c>
      <c r="P16" s="6">
        <v>1</v>
      </c>
      <c r="Q16" s="7">
        <v>8150762.6299999999</v>
      </c>
      <c r="R16" s="7">
        <v>240396.86</v>
      </c>
    </row>
    <row r="17" spans="1:18" ht="47.1" customHeight="1" x14ac:dyDescent="0.25">
      <c r="A17" s="11" t="s">
        <v>70</v>
      </c>
      <c r="B17" s="3" t="s">
        <v>71</v>
      </c>
      <c r="C17" s="3"/>
      <c r="D17" s="3" t="s">
        <v>20</v>
      </c>
      <c r="E17" s="3"/>
      <c r="F17" s="4" t="s">
        <v>21</v>
      </c>
      <c r="G17" s="4">
        <v>5</v>
      </c>
      <c r="H17" s="3" t="s">
        <v>22</v>
      </c>
      <c r="I17" s="3" t="s">
        <v>23</v>
      </c>
      <c r="J17" s="4">
        <v>2025</v>
      </c>
      <c r="K17" s="4" t="s">
        <v>24</v>
      </c>
      <c r="L17" s="5">
        <v>45933</v>
      </c>
      <c r="M17" s="5" t="s">
        <v>42</v>
      </c>
      <c r="N17" s="5" t="s">
        <v>33</v>
      </c>
      <c r="O17" s="6">
        <v>3</v>
      </c>
      <c r="P17" s="6">
        <v>3</v>
      </c>
      <c r="Q17" s="7">
        <v>689518.5</v>
      </c>
      <c r="R17" s="8">
        <v>498943.5</v>
      </c>
    </row>
    <row r="18" spans="1:18" ht="42.75" x14ac:dyDescent="0.25">
      <c r="A18" s="11" t="s">
        <v>72</v>
      </c>
      <c r="B18" s="3" t="s">
        <v>73</v>
      </c>
      <c r="C18" s="3"/>
      <c r="D18" s="3" t="s">
        <v>20</v>
      </c>
      <c r="E18" s="3"/>
      <c r="F18" s="4" t="s">
        <v>21</v>
      </c>
      <c r="G18" s="4">
        <v>7.5</v>
      </c>
      <c r="H18" s="3" t="s">
        <v>22</v>
      </c>
      <c r="I18" s="3" t="s">
        <v>23</v>
      </c>
      <c r="J18" s="4">
        <v>2025</v>
      </c>
      <c r="K18" s="4" t="s">
        <v>24</v>
      </c>
      <c r="L18" s="5">
        <v>45985</v>
      </c>
      <c r="M18" s="5" t="s">
        <v>42</v>
      </c>
      <c r="N18" s="5" t="s">
        <v>33</v>
      </c>
      <c r="O18" s="6">
        <v>3</v>
      </c>
      <c r="P18" s="6">
        <v>3</v>
      </c>
      <c r="Q18" s="7">
        <v>4081183.42</v>
      </c>
      <c r="R18" s="8">
        <v>3370300.05</v>
      </c>
    </row>
    <row r="19" spans="1:18" ht="42.75" x14ac:dyDescent="0.25">
      <c r="A19" s="9" t="s">
        <v>74</v>
      </c>
      <c r="B19" s="3" t="s">
        <v>75</v>
      </c>
      <c r="C19" s="3"/>
      <c r="D19" s="3" t="s">
        <v>20</v>
      </c>
      <c r="E19" s="3"/>
      <c r="F19" s="4" t="s">
        <v>76</v>
      </c>
      <c r="G19" s="4">
        <v>24</v>
      </c>
      <c r="H19" s="3" t="s">
        <v>77</v>
      </c>
      <c r="I19" s="3" t="s">
        <v>78</v>
      </c>
      <c r="J19" s="4">
        <v>2025</v>
      </c>
      <c r="K19" s="4" t="s">
        <v>24</v>
      </c>
      <c r="L19" s="5">
        <v>45680</v>
      </c>
      <c r="M19" s="5" t="s">
        <v>79</v>
      </c>
      <c r="N19" s="5"/>
      <c r="O19" s="6">
        <v>16</v>
      </c>
      <c r="P19" s="6"/>
      <c r="Q19" s="12">
        <v>37207.5</v>
      </c>
      <c r="R19" s="12">
        <v>37207.5</v>
      </c>
    </row>
    <row r="20" spans="1:18" ht="42.75" x14ac:dyDescent="0.25">
      <c r="A20" s="9" t="s">
        <v>80</v>
      </c>
      <c r="B20" s="3" t="s">
        <v>81</v>
      </c>
      <c r="C20" s="3"/>
      <c r="D20" s="3" t="s">
        <v>20</v>
      </c>
      <c r="E20" s="3"/>
      <c r="F20" s="4" t="s">
        <v>21</v>
      </c>
      <c r="G20" s="4">
        <v>17</v>
      </c>
      <c r="H20" s="3" t="s">
        <v>77</v>
      </c>
      <c r="I20" s="3" t="s">
        <v>78</v>
      </c>
      <c r="J20" s="4">
        <v>2025</v>
      </c>
      <c r="K20" s="4" t="s">
        <v>24</v>
      </c>
      <c r="L20" s="5">
        <v>45688</v>
      </c>
      <c r="M20" s="5" t="s">
        <v>82</v>
      </c>
      <c r="N20" s="5"/>
      <c r="O20" s="6">
        <v>1</v>
      </c>
      <c r="P20" s="6"/>
      <c r="Q20" s="7">
        <v>71910</v>
      </c>
      <c r="R20" s="8">
        <v>53433.599999999999</v>
      </c>
    </row>
    <row r="21" spans="1:18" ht="42.75" x14ac:dyDescent="0.25">
      <c r="A21" s="9" t="s">
        <v>83</v>
      </c>
      <c r="B21" s="3" t="s">
        <v>84</v>
      </c>
      <c r="C21" s="3"/>
      <c r="D21" s="3" t="s">
        <v>20</v>
      </c>
      <c r="E21" s="3"/>
      <c r="F21" s="4" t="s">
        <v>21</v>
      </c>
      <c r="G21" s="4">
        <v>24</v>
      </c>
      <c r="H21" s="3" t="s">
        <v>77</v>
      </c>
      <c r="I21" s="3" t="s">
        <v>78</v>
      </c>
      <c r="J21" s="4">
        <v>2025</v>
      </c>
      <c r="K21" s="4" t="s">
        <v>24</v>
      </c>
      <c r="L21" s="5">
        <v>45693</v>
      </c>
      <c r="M21" s="5" t="s">
        <v>82</v>
      </c>
      <c r="N21" s="5"/>
      <c r="O21" s="6">
        <v>1</v>
      </c>
      <c r="P21" s="6"/>
      <c r="Q21" s="7">
        <v>68640</v>
      </c>
      <c r="R21" s="8">
        <v>58273.599999999999</v>
      </c>
    </row>
    <row r="22" spans="1:18" ht="42.75" x14ac:dyDescent="0.25">
      <c r="A22" s="9" t="s">
        <v>85</v>
      </c>
      <c r="B22" s="3" t="s">
        <v>86</v>
      </c>
      <c r="C22" s="3"/>
      <c r="D22" s="3" t="s">
        <v>20</v>
      </c>
      <c r="E22" s="3"/>
      <c r="F22" s="4" t="s">
        <v>76</v>
      </c>
      <c r="G22" s="4">
        <v>0.5</v>
      </c>
      <c r="H22" s="3" t="s">
        <v>77</v>
      </c>
      <c r="I22" s="3" t="s">
        <v>78</v>
      </c>
      <c r="J22" s="4">
        <v>2025</v>
      </c>
      <c r="K22" s="4" t="s">
        <v>24</v>
      </c>
      <c r="L22" s="5">
        <v>45693</v>
      </c>
      <c r="M22" s="5" t="s">
        <v>87</v>
      </c>
      <c r="N22" s="5"/>
      <c r="O22" s="6">
        <v>10</v>
      </c>
      <c r="P22" s="6"/>
      <c r="Q22" s="7">
        <v>14520</v>
      </c>
      <c r="R22" s="8">
        <v>7885.96</v>
      </c>
    </row>
    <row r="23" spans="1:18" ht="57" x14ac:dyDescent="0.25">
      <c r="A23" s="9" t="s">
        <v>88</v>
      </c>
      <c r="B23" s="3" t="s">
        <v>89</v>
      </c>
      <c r="C23" s="3"/>
      <c r="D23" s="3" t="s">
        <v>20</v>
      </c>
      <c r="E23" s="3"/>
      <c r="F23" s="4" t="s">
        <v>21</v>
      </c>
      <c r="G23" s="4">
        <v>24</v>
      </c>
      <c r="H23" s="3" t="s">
        <v>90</v>
      </c>
      <c r="I23" s="3" t="s">
        <v>78</v>
      </c>
      <c r="J23" s="4">
        <v>2025</v>
      </c>
      <c r="K23" s="4" t="s">
        <v>24</v>
      </c>
      <c r="L23" s="5">
        <v>45784</v>
      </c>
      <c r="M23" s="5" t="s">
        <v>91</v>
      </c>
      <c r="N23" s="5"/>
      <c r="O23" s="6">
        <v>3</v>
      </c>
      <c r="P23" s="6"/>
      <c r="Q23" s="7">
        <v>72545.259999999995</v>
      </c>
      <c r="R23" s="8">
        <v>56870</v>
      </c>
    </row>
    <row r="24" spans="1:18" ht="57.95" customHeight="1" x14ac:dyDescent="0.25">
      <c r="A24" s="11" t="s">
        <v>92</v>
      </c>
      <c r="B24" s="3" t="s">
        <v>93</v>
      </c>
      <c r="C24" s="3"/>
      <c r="D24" s="3" t="s">
        <v>20</v>
      </c>
      <c r="E24" s="3"/>
      <c r="F24" s="4" t="s">
        <v>21</v>
      </c>
      <c r="G24" s="4">
        <v>36</v>
      </c>
      <c r="H24" s="3" t="s">
        <v>90</v>
      </c>
      <c r="I24" s="3" t="s">
        <v>78</v>
      </c>
      <c r="J24" s="4">
        <v>2025</v>
      </c>
      <c r="K24" s="4" t="s">
        <v>24</v>
      </c>
      <c r="L24" s="5">
        <v>45772</v>
      </c>
      <c r="M24" s="5" t="s">
        <v>82</v>
      </c>
      <c r="N24" s="5"/>
      <c r="O24" s="6">
        <v>1</v>
      </c>
      <c r="P24" s="6"/>
      <c r="Q24" s="7">
        <v>39960</v>
      </c>
      <c r="R24" s="8">
        <v>37026</v>
      </c>
    </row>
    <row r="25" spans="1:18" ht="48.6" customHeight="1" x14ac:dyDescent="0.25">
      <c r="A25" s="9" t="s">
        <v>94</v>
      </c>
      <c r="B25" s="3" t="s">
        <v>95</v>
      </c>
      <c r="C25" s="3"/>
      <c r="D25" s="3" t="s">
        <v>20</v>
      </c>
      <c r="E25" s="3"/>
      <c r="F25" s="4" t="s">
        <v>21</v>
      </c>
      <c r="G25" s="4">
        <v>36</v>
      </c>
      <c r="H25" s="3" t="s">
        <v>90</v>
      </c>
      <c r="I25" s="3" t="s">
        <v>78</v>
      </c>
      <c r="J25" s="4">
        <v>2025</v>
      </c>
      <c r="K25" s="4" t="s">
        <v>24</v>
      </c>
      <c r="L25" s="5">
        <v>45772</v>
      </c>
      <c r="M25" s="5" t="s">
        <v>96</v>
      </c>
      <c r="N25" s="5"/>
      <c r="O25" s="6">
        <v>3</v>
      </c>
      <c r="P25" s="6"/>
      <c r="Q25" s="7">
        <v>53460</v>
      </c>
      <c r="R25" s="8">
        <v>41859.599999999999</v>
      </c>
    </row>
    <row r="26" spans="1:18" ht="59.1" customHeight="1" x14ac:dyDescent="0.25">
      <c r="A26" s="9" t="s">
        <v>97</v>
      </c>
      <c r="B26" s="3" t="s">
        <v>98</v>
      </c>
      <c r="C26" s="3"/>
      <c r="D26" s="3" t="s">
        <v>20</v>
      </c>
      <c r="E26" s="3"/>
      <c r="F26" s="4" t="s">
        <v>21</v>
      </c>
      <c r="G26" s="4">
        <v>24</v>
      </c>
      <c r="H26" s="3" t="s">
        <v>90</v>
      </c>
      <c r="I26" s="3" t="s">
        <v>78</v>
      </c>
      <c r="J26" s="4">
        <v>2025</v>
      </c>
      <c r="K26" s="4" t="s">
        <v>24</v>
      </c>
      <c r="L26" s="5">
        <v>45783</v>
      </c>
      <c r="M26" s="5" t="s">
        <v>99</v>
      </c>
      <c r="N26" s="5"/>
      <c r="O26" s="6">
        <v>9</v>
      </c>
      <c r="P26" s="6"/>
      <c r="Q26" s="7">
        <v>100007.27</v>
      </c>
      <c r="R26" s="8">
        <v>49761.25</v>
      </c>
    </row>
    <row r="27" spans="1:18" ht="61.5" customHeight="1" x14ac:dyDescent="0.25">
      <c r="A27" s="9" t="s">
        <v>100</v>
      </c>
      <c r="B27" s="3" t="s">
        <v>101</v>
      </c>
      <c r="C27" s="3"/>
      <c r="D27" s="3" t="s">
        <v>20</v>
      </c>
      <c r="E27" s="3"/>
      <c r="F27" s="4" t="s">
        <v>21</v>
      </c>
      <c r="G27" s="4">
        <v>1</v>
      </c>
      <c r="H27" s="3" t="s">
        <v>102</v>
      </c>
      <c r="I27" s="3" t="s">
        <v>103</v>
      </c>
      <c r="J27" s="4">
        <v>2025</v>
      </c>
      <c r="K27" s="4" t="s">
        <v>24</v>
      </c>
      <c r="L27" s="5">
        <v>45833</v>
      </c>
      <c r="M27" s="5" t="s">
        <v>104</v>
      </c>
      <c r="N27" s="5"/>
      <c r="O27" s="6">
        <v>1</v>
      </c>
      <c r="P27" s="6"/>
      <c r="Q27" s="7">
        <v>46409.55</v>
      </c>
      <c r="R27" s="8">
        <v>46409.55</v>
      </c>
    </row>
    <row r="28" spans="1:18" ht="42.75" x14ac:dyDescent="0.25">
      <c r="A28" s="11" t="s">
        <v>105</v>
      </c>
      <c r="B28" s="3" t="s">
        <v>106</v>
      </c>
      <c r="C28" s="3"/>
      <c r="D28" s="3" t="s">
        <v>20</v>
      </c>
      <c r="E28" s="3"/>
      <c r="F28" s="4" t="s">
        <v>21</v>
      </c>
      <c r="G28" s="4">
        <v>12</v>
      </c>
      <c r="H28" s="3" t="s">
        <v>77</v>
      </c>
      <c r="I28" s="3" t="s">
        <v>78</v>
      </c>
      <c r="J28" s="4">
        <v>2025</v>
      </c>
      <c r="K28" s="4" t="s">
        <v>24</v>
      </c>
      <c r="L28" s="5">
        <v>45859</v>
      </c>
      <c r="M28" s="5" t="s">
        <v>107</v>
      </c>
      <c r="N28" s="5"/>
      <c r="O28" s="6">
        <v>4</v>
      </c>
      <c r="P28" s="6"/>
      <c r="Q28" s="7">
        <v>30976</v>
      </c>
      <c r="R28" s="8">
        <v>22851.84</v>
      </c>
    </row>
    <row r="29" spans="1:18" ht="28.5" x14ac:dyDescent="0.25">
      <c r="A29" s="11" t="s">
        <v>108</v>
      </c>
      <c r="B29" s="3" t="s">
        <v>109</v>
      </c>
      <c r="C29" s="3"/>
      <c r="D29" s="3" t="s">
        <v>20</v>
      </c>
      <c r="E29" s="3"/>
      <c r="F29" s="4" t="s">
        <v>76</v>
      </c>
      <c r="G29" s="4">
        <v>12</v>
      </c>
      <c r="H29" s="3" t="s">
        <v>102</v>
      </c>
      <c r="I29" s="3" t="s">
        <v>103</v>
      </c>
      <c r="J29" s="4">
        <v>2025</v>
      </c>
      <c r="K29" s="4" t="s">
        <v>24</v>
      </c>
      <c r="L29" s="5">
        <v>45861</v>
      </c>
      <c r="M29" s="5" t="s">
        <v>110</v>
      </c>
      <c r="N29" s="5"/>
      <c r="O29" s="6">
        <v>1</v>
      </c>
      <c r="P29" s="6"/>
      <c r="Q29" s="7">
        <v>54520.18</v>
      </c>
      <c r="R29" s="8">
        <v>54520.18</v>
      </c>
    </row>
    <row r="30" spans="1:18" ht="42.75" x14ac:dyDescent="0.25">
      <c r="A30" s="11" t="s">
        <v>111</v>
      </c>
      <c r="B30" s="3" t="s">
        <v>112</v>
      </c>
      <c r="C30" s="3"/>
      <c r="D30" s="3" t="s">
        <v>20</v>
      </c>
      <c r="E30" s="3"/>
      <c r="F30" s="4" t="s">
        <v>76</v>
      </c>
      <c r="G30" s="4">
        <v>0.5</v>
      </c>
      <c r="H30" s="3" t="s">
        <v>77</v>
      </c>
      <c r="I30" s="3" t="s">
        <v>78</v>
      </c>
      <c r="J30" s="4">
        <v>2025</v>
      </c>
      <c r="K30" s="4" t="s">
        <v>24</v>
      </c>
      <c r="L30" s="5">
        <v>45895</v>
      </c>
      <c r="M30" s="5" t="s">
        <v>113</v>
      </c>
      <c r="N30" s="5"/>
      <c r="O30" s="6">
        <v>6</v>
      </c>
      <c r="P30" s="6"/>
      <c r="Q30" s="7">
        <v>48400.46</v>
      </c>
      <c r="R30" s="8">
        <v>29272.05</v>
      </c>
    </row>
    <row r="31" spans="1:18" ht="42.75" x14ac:dyDescent="0.25">
      <c r="A31" s="11" t="s">
        <v>114</v>
      </c>
      <c r="B31" s="3" t="s">
        <v>115</v>
      </c>
      <c r="C31" s="3"/>
      <c r="D31" s="3" t="s">
        <v>20</v>
      </c>
      <c r="E31" s="3"/>
      <c r="F31" s="4" t="s">
        <v>21</v>
      </c>
      <c r="G31" s="4">
        <v>24</v>
      </c>
      <c r="H31" s="3" t="s">
        <v>77</v>
      </c>
      <c r="I31" s="3" t="s">
        <v>78</v>
      </c>
      <c r="J31" s="4">
        <v>2025</v>
      </c>
      <c r="K31" s="4" t="s">
        <v>24</v>
      </c>
      <c r="L31" s="5">
        <v>45917</v>
      </c>
      <c r="M31" s="5" t="s">
        <v>116</v>
      </c>
      <c r="N31" s="5"/>
      <c r="O31" s="6">
        <v>4</v>
      </c>
      <c r="P31" s="6"/>
      <c r="Q31" s="7">
        <v>62880</v>
      </c>
      <c r="R31" s="8">
        <v>40199.18</v>
      </c>
    </row>
    <row r="32" spans="1:18" ht="42.75" x14ac:dyDescent="0.25">
      <c r="A32" s="11" t="s">
        <v>117</v>
      </c>
      <c r="B32" s="3" t="s">
        <v>118</v>
      </c>
      <c r="C32" s="3"/>
      <c r="D32" s="3" t="s">
        <v>20</v>
      </c>
      <c r="E32" s="3"/>
      <c r="F32" s="4" t="s">
        <v>21</v>
      </c>
      <c r="G32" s="4">
        <v>24</v>
      </c>
      <c r="H32" s="3" t="s">
        <v>77</v>
      </c>
      <c r="I32" s="3" t="s">
        <v>78</v>
      </c>
      <c r="J32" s="4">
        <v>2025</v>
      </c>
      <c r="K32" s="4" t="s">
        <v>24</v>
      </c>
      <c r="L32" s="5">
        <v>45919</v>
      </c>
      <c r="M32" s="5" t="s">
        <v>119</v>
      </c>
      <c r="N32" s="5"/>
      <c r="O32" s="6">
        <v>2</v>
      </c>
      <c r="P32" s="6"/>
      <c r="Q32" s="7">
        <v>31823</v>
      </c>
      <c r="R32" s="8">
        <v>24973.06</v>
      </c>
    </row>
    <row r="33" spans="1:19" ht="42.75" x14ac:dyDescent="0.25">
      <c r="A33" s="11" t="s">
        <v>120</v>
      </c>
      <c r="B33" s="3" t="s">
        <v>121</v>
      </c>
      <c r="C33" s="3"/>
      <c r="D33" s="3" t="s">
        <v>20</v>
      </c>
      <c r="E33" s="3"/>
      <c r="F33" s="4" t="s">
        <v>21</v>
      </c>
      <c r="G33" s="4">
        <v>24</v>
      </c>
      <c r="H33" s="3" t="s">
        <v>90</v>
      </c>
      <c r="I33" s="3" t="s">
        <v>78</v>
      </c>
      <c r="J33" s="4">
        <v>2025</v>
      </c>
      <c r="K33" s="4" t="s">
        <v>24</v>
      </c>
      <c r="L33" s="5">
        <v>45890</v>
      </c>
      <c r="M33" s="5" t="s">
        <v>122</v>
      </c>
      <c r="N33" s="5"/>
      <c r="O33" s="6">
        <v>17</v>
      </c>
      <c r="P33" s="6"/>
      <c r="Q33" s="7">
        <v>141134.1</v>
      </c>
      <c r="R33" s="8">
        <v>62944.2</v>
      </c>
    </row>
    <row r="34" spans="1:19" ht="57" x14ac:dyDescent="0.25">
      <c r="A34" s="11" t="s">
        <v>123</v>
      </c>
      <c r="B34" s="3" t="s">
        <v>124</v>
      </c>
      <c r="C34" s="3"/>
      <c r="D34" s="3" t="s">
        <v>20</v>
      </c>
      <c r="E34" s="3"/>
      <c r="F34" s="4" t="s">
        <v>76</v>
      </c>
      <c r="G34" s="4">
        <v>12</v>
      </c>
      <c r="H34" s="3" t="s">
        <v>22</v>
      </c>
      <c r="I34" s="3" t="s">
        <v>23</v>
      </c>
      <c r="J34" s="4">
        <v>2025</v>
      </c>
      <c r="K34" s="4" t="s">
        <v>24</v>
      </c>
      <c r="L34" s="5">
        <v>45947</v>
      </c>
      <c r="M34" s="5" t="s">
        <v>125</v>
      </c>
      <c r="N34" s="5" t="s">
        <v>33</v>
      </c>
      <c r="O34" s="6">
        <v>2</v>
      </c>
      <c r="P34" s="6">
        <v>1</v>
      </c>
      <c r="Q34" s="7">
        <v>139099.42000000001</v>
      </c>
      <c r="R34" s="8">
        <v>139099.42000000001</v>
      </c>
    </row>
    <row r="35" spans="1:19" ht="42.75" x14ac:dyDescent="0.25">
      <c r="A35" s="11" t="s">
        <v>126</v>
      </c>
      <c r="B35" s="3" t="s">
        <v>127</v>
      </c>
      <c r="C35" s="3"/>
      <c r="D35" s="3" t="s">
        <v>20</v>
      </c>
      <c r="E35" s="3"/>
      <c r="F35" s="4" t="s">
        <v>21</v>
      </c>
      <c r="G35" s="4">
        <v>36</v>
      </c>
      <c r="H35" s="3" t="s">
        <v>90</v>
      </c>
      <c r="I35" s="3" t="s">
        <v>78</v>
      </c>
      <c r="J35" s="4">
        <v>2025</v>
      </c>
      <c r="K35" s="4" t="s">
        <v>24</v>
      </c>
      <c r="L35" s="5">
        <v>45952</v>
      </c>
      <c r="M35" s="5" t="s">
        <v>128</v>
      </c>
      <c r="N35" s="5"/>
      <c r="O35" s="6">
        <v>2</v>
      </c>
      <c r="P35" s="6"/>
      <c r="Q35" s="7">
        <v>63234.6</v>
      </c>
      <c r="R35" s="8">
        <v>63234.6</v>
      </c>
    </row>
    <row r="36" spans="1:19" ht="68.45" customHeight="1" x14ac:dyDescent="0.25">
      <c r="A36" s="11" t="s">
        <v>129</v>
      </c>
      <c r="B36" s="3" t="s">
        <v>130</v>
      </c>
      <c r="C36" s="3"/>
      <c r="D36" s="3" t="s">
        <v>20</v>
      </c>
      <c r="E36" s="3"/>
      <c r="F36" s="4" t="s">
        <v>21</v>
      </c>
      <c r="G36" s="4">
        <v>4</v>
      </c>
      <c r="H36" s="3" t="s">
        <v>90</v>
      </c>
      <c r="I36" s="3" t="s">
        <v>78</v>
      </c>
      <c r="J36" s="4">
        <v>2025</v>
      </c>
      <c r="K36" s="4" t="s">
        <v>24</v>
      </c>
      <c r="L36" s="5">
        <v>45982</v>
      </c>
      <c r="M36" s="5" t="s">
        <v>131</v>
      </c>
      <c r="N36" s="5"/>
      <c r="O36" s="6">
        <v>3</v>
      </c>
      <c r="P36" s="6"/>
      <c r="Q36" s="7">
        <v>98131</v>
      </c>
      <c r="R36" s="8">
        <v>71616</v>
      </c>
    </row>
    <row r="37" spans="1:19" ht="60.95" customHeight="1" x14ac:dyDescent="0.25">
      <c r="A37" s="11" t="s">
        <v>132</v>
      </c>
      <c r="B37" s="3" t="s">
        <v>133</v>
      </c>
      <c r="C37" s="3"/>
      <c r="D37" s="3" t="s">
        <v>20</v>
      </c>
      <c r="E37" s="3"/>
      <c r="F37" s="4" t="s">
        <v>21</v>
      </c>
      <c r="G37" s="4">
        <v>36</v>
      </c>
      <c r="H37" s="3" t="s">
        <v>90</v>
      </c>
      <c r="I37" s="3" t="s">
        <v>78</v>
      </c>
      <c r="J37" s="4">
        <v>2025</v>
      </c>
      <c r="K37" s="4" t="s">
        <v>24</v>
      </c>
      <c r="L37" s="5">
        <v>45994</v>
      </c>
      <c r="M37" s="5" t="s">
        <v>82</v>
      </c>
      <c r="N37" s="5"/>
      <c r="O37" s="6">
        <v>1</v>
      </c>
      <c r="P37" s="6"/>
      <c r="Q37" s="7">
        <v>54360</v>
      </c>
      <c r="R37" s="8">
        <v>46173.599999999999</v>
      </c>
    </row>
    <row r="38" spans="1:19" ht="85.5" x14ac:dyDescent="0.25">
      <c r="A38" s="13" t="s">
        <v>134</v>
      </c>
      <c r="B38" s="14" t="s">
        <v>135</v>
      </c>
      <c r="C38" s="14"/>
      <c r="D38" s="14" t="s">
        <v>20</v>
      </c>
      <c r="E38" s="14"/>
      <c r="F38" s="13" t="s">
        <v>136</v>
      </c>
      <c r="G38" s="13">
        <v>4</v>
      </c>
      <c r="H38" s="14" t="s">
        <v>137</v>
      </c>
      <c r="I38" s="14" t="s">
        <v>138</v>
      </c>
      <c r="J38" s="4">
        <v>2025</v>
      </c>
      <c r="K38" s="13" t="s">
        <v>24</v>
      </c>
      <c r="L38" s="15">
        <v>45678</v>
      </c>
      <c r="M38" s="15" t="s">
        <v>139</v>
      </c>
      <c r="N38" s="15"/>
      <c r="O38" s="16">
        <v>3</v>
      </c>
      <c r="P38" s="16"/>
      <c r="Q38" s="17">
        <v>17998.75</v>
      </c>
      <c r="R38" s="17">
        <v>17998.75</v>
      </c>
    </row>
    <row r="39" spans="1:19" ht="85.5" x14ac:dyDescent="0.25">
      <c r="A39" s="13" t="s">
        <v>140</v>
      </c>
      <c r="B39" s="14" t="s">
        <v>141</v>
      </c>
      <c r="C39" s="14"/>
      <c r="D39" s="14" t="s">
        <v>20</v>
      </c>
      <c r="E39" s="14"/>
      <c r="F39" s="13" t="s">
        <v>76</v>
      </c>
      <c r="G39" s="13">
        <v>3</v>
      </c>
      <c r="H39" s="14" t="s">
        <v>137</v>
      </c>
      <c r="I39" s="14" t="s">
        <v>138</v>
      </c>
      <c r="J39" s="4">
        <v>2025</v>
      </c>
      <c r="K39" s="13" t="s">
        <v>24</v>
      </c>
      <c r="L39" s="15">
        <v>45678</v>
      </c>
      <c r="M39" s="15" t="s">
        <v>142</v>
      </c>
      <c r="N39" s="15"/>
      <c r="O39" s="16">
        <v>4</v>
      </c>
      <c r="P39" s="16"/>
      <c r="Q39" s="17">
        <v>16819</v>
      </c>
      <c r="R39" s="18">
        <v>15341.59</v>
      </c>
    </row>
    <row r="40" spans="1:19" ht="57" x14ac:dyDescent="0.25">
      <c r="A40" s="13" t="s">
        <v>143</v>
      </c>
      <c r="B40" s="14" t="s">
        <v>144</v>
      </c>
      <c r="C40" s="14"/>
      <c r="D40" s="14" t="s">
        <v>20</v>
      </c>
      <c r="E40" s="14"/>
      <c r="F40" s="13" t="s">
        <v>21</v>
      </c>
      <c r="G40" s="13">
        <v>6</v>
      </c>
      <c r="H40" s="14" t="s">
        <v>137</v>
      </c>
      <c r="I40" s="14" t="s">
        <v>138</v>
      </c>
      <c r="J40" s="4">
        <v>2025</v>
      </c>
      <c r="K40" s="13" t="s">
        <v>24</v>
      </c>
      <c r="L40" s="15">
        <v>45679</v>
      </c>
      <c r="M40" s="15" t="s">
        <v>145</v>
      </c>
      <c r="N40" s="15"/>
      <c r="O40" s="16">
        <v>9</v>
      </c>
      <c r="P40" s="16"/>
      <c r="Q40" s="17">
        <v>17711.41</v>
      </c>
      <c r="R40" s="18">
        <v>13509.65</v>
      </c>
    </row>
    <row r="41" spans="1:19" ht="57" x14ac:dyDescent="0.25">
      <c r="A41" s="13" t="s">
        <v>146</v>
      </c>
      <c r="B41" s="14" t="s">
        <v>147</v>
      </c>
      <c r="C41" s="14"/>
      <c r="D41" s="14" t="s">
        <v>20</v>
      </c>
      <c r="E41" s="14"/>
      <c r="F41" s="13" t="s">
        <v>21</v>
      </c>
      <c r="G41" s="13">
        <v>0.16</v>
      </c>
      <c r="H41" s="14" t="s">
        <v>137</v>
      </c>
      <c r="I41" s="14" t="s">
        <v>138</v>
      </c>
      <c r="J41" s="4">
        <v>2025</v>
      </c>
      <c r="K41" s="13" t="s">
        <v>24</v>
      </c>
      <c r="L41" s="15">
        <v>45791</v>
      </c>
      <c r="M41" s="15" t="s">
        <v>148</v>
      </c>
      <c r="N41" s="15"/>
      <c r="O41" s="16">
        <v>1</v>
      </c>
      <c r="P41" s="16"/>
      <c r="Q41" s="17">
        <v>18125.8</v>
      </c>
      <c r="R41" s="18">
        <v>17985.37</v>
      </c>
    </row>
    <row r="42" spans="1:19" ht="42.75" x14ac:dyDescent="0.25">
      <c r="A42" s="13" t="s">
        <v>149</v>
      </c>
      <c r="B42" s="14" t="s">
        <v>150</v>
      </c>
      <c r="C42" s="14"/>
      <c r="D42" s="14" t="s">
        <v>20</v>
      </c>
      <c r="E42" s="14"/>
      <c r="F42" s="13" t="s">
        <v>21</v>
      </c>
      <c r="G42" s="13">
        <v>0.16</v>
      </c>
      <c r="H42" s="14" t="s">
        <v>137</v>
      </c>
      <c r="I42" s="14" t="s">
        <v>138</v>
      </c>
      <c r="J42" s="4">
        <v>2025</v>
      </c>
      <c r="K42" s="13" t="s">
        <v>24</v>
      </c>
      <c r="L42" s="15">
        <v>45874</v>
      </c>
      <c r="M42" s="15" t="s">
        <v>151</v>
      </c>
      <c r="N42" s="15"/>
      <c r="O42" s="16">
        <v>3</v>
      </c>
      <c r="P42" s="16"/>
      <c r="Q42" s="17">
        <v>18029.3</v>
      </c>
      <c r="R42" s="18">
        <v>16244.25</v>
      </c>
    </row>
    <row r="43" spans="1:19" ht="59.45" customHeight="1" x14ac:dyDescent="0.25">
      <c r="A43" s="13" t="s">
        <v>152</v>
      </c>
      <c r="B43" s="14" t="s">
        <v>153</v>
      </c>
      <c r="C43" s="14"/>
      <c r="D43" s="14" t="s">
        <v>20</v>
      </c>
      <c r="E43" s="14"/>
      <c r="F43" s="13" t="s">
        <v>21</v>
      </c>
      <c r="G43" s="13">
        <v>9</v>
      </c>
      <c r="H43" s="14" t="s">
        <v>137</v>
      </c>
      <c r="I43" s="14" t="s">
        <v>138</v>
      </c>
      <c r="J43" s="4">
        <v>2025</v>
      </c>
      <c r="K43" s="13" t="s">
        <v>24</v>
      </c>
      <c r="L43" s="15">
        <v>45686</v>
      </c>
      <c r="M43" s="15" t="s">
        <v>154</v>
      </c>
      <c r="N43" s="15"/>
      <c r="O43" s="16">
        <v>3</v>
      </c>
      <c r="P43" s="16"/>
      <c r="Q43" s="17">
        <v>8999.92</v>
      </c>
      <c r="R43" s="18">
        <v>6292</v>
      </c>
    </row>
    <row r="44" spans="1:19" ht="42.75" x14ac:dyDescent="0.25">
      <c r="A44" s="13" t="s">
        <v>155</v>
      </c>
      <c r="B44" s="14" t="s">
        <v>156</v>
      </c>
      <c r="C44" s="14"/>
      <c r="D44" s="14" t="s">
        <v>20</v>
      </c>
      <c r="E44" s="14"/>
      <c r="F44" s="13" t="s">
        <v>21</v>
      </c>
      <c r="G44" s="13">
        <v>4</v>
      </c>
      <c r="H44" s="14" t="s">
        <v>137</v>
      </c>
      <c r="I44" s="14" t="s">
        <v>138</v>
      </c>
      <c r="J44" s="4">
        <v>2025</v>
      </c>
      <c r="K44" s="13" t="s">
        <v>24</v>
      </c>
      <c r="L44" s="15">
        <v>45972</v>
      </c>
      <c r="M44" s="15" t="s">
        <v>32</v>
      </c>
      <c r="N44" s="15"/>
      <c r="O44" s="16">
        <v>3</v>
      </c>
      <c r="P44" s="16"/>
      <c r="Q44" s="17">
        <v>17968.5</v>
      </c>
      <c r="R44" s="18">
        <v>17968.5</v>
      </c>
      <c r="S44" s="1" t="s">
        <v>157</v>
      </c>
    </row>
    <row r="45" spans="1:19" ht="42.75" x14ac:dyDescent="0.25">
      <c r="A45" s="13" t="s">
        <v>158</v>
      </c>
      <c r="B45" s="14" t="s">
        <v>159</v>
      </c>
      <c r="C45" s="14"/>
      <c r="D45" s="14" t="s">
        <v>20</v>
      </c>
      <c r="E45" s="14"/>
      <c r="F45" s="13" t="s">
        <v>21</v>
      </c>
      <c r="G45" s="13">
        <v>4</v>
      </c>
      <c r="H45" s="14" t="s">
        <v>137</v>
      </c>
      <c r="I45" s="14" t="s">
        <v>138</v>
      </c>
      <c r="J45" s="4">
        <v>2025</v>
      </c>
      <c r="K45" s="13" t="s">
        <v>24</v>
      </c>
      <c r="L45" s="15">
        <v>45769</v>
      </c>
      <c r="M45" s="15" t="s">
        <v>45</v>
      </c>
      <c r="N45" s="15"/>
      <c r="O45" s="16">
        <v>3</v>
      </c>
      <c r="P45" s="16"/>
      <c r="Q45" s="17">
        <v>18089.5</v>
      </c>
      <c r="R45" s="18">
        <v>17895.900000000001</v>
      </c>
    </row>
    <row r="46" spans="1:19" ht="28.5" x14ac:dyDescent="0.25">
      <c r="A46" s="13" t="s">
        <v>160</v>
      </c>
      <c r="B46" s="14" t="s">
        <v>161</v>
      </c>
      <c r="C46" s="14"/>
      <c r="D46" s="14" t="s">
        <v>20</v>
      </c>
      <c r="E46" s="14"/>
      <c r="F46" s="13" t="s">
        <v>76</v>
      </c>
      <c r="G46" s="13">
        <v>1</v>
      </c>
      <c r="H46" s="14" t="s">
        <v>137</v>
      </c>
      <c r="I46" s="14" t="s">
        <v>138</v>
      </c>
      <c r="J46" s="4">
        <v>2025</v>
      </c>
      <c r="K46" s="13" t="s">
        <v>24</v>
      </c>
      <c r="L46" s="15">
        <v>45775</v>
      </c>
      <c r="M46" s="15" t="s">
        <v>162</v>
      </c>
      <c r="N46" s="15"/>
      <c r="O46" s="16">
        <v>3</v>
      </c>
      <c r="P46" s="16"/>
      <c r="Q46" s="17">
        <v>17621.23</v>
      </c>
      <c r="R46" s="18">
        <v>6711.87</v>
      </c>
    </row>
    <row r="47" spans="1:19" ht="42.75" x14ac:dyDescent="0.25">
      <c r="A47" s="13" t="s">
        <v>163</v>
      </c>
      <c r="B47" s="14" t="s">
        <v>164</v>
      </c>
      <c r="C47" s="14"/>
      <c r="D47" s="14" t="s">
        <v>20</v>
      </c>
      <c r="E47" s="14"/>
      <c r="F47" s="13" t="s">
        <v>21</v>
      </c>
      <c r="G47" s="13">
        <v>2</v>
      </c>
      <c r="H47" s="14" t="s">
        <v>137</v>
      </c>
      <c r="I47" s="14" t="s">
        <v>138</v>
      </c>
      <c r="J47" s="4">
        <v>2025</v>
      </c>
      <c r="K47" s="13" t="s">
        <v>24</v>
      </c>
      <c r="L47" s="15">
        <v>45765</v>
      </c>
      <c r="M47" s="15" t="s">
        <v>165</v>
      </c>
      <c r="N47" s="15"/>
      <c r="O47" s="16">
        <v>3</v>
      </c>
      <c r="P47" s="16"/>
      <c r="Q47" s="17">
        <v>18029</v>
      </c>
      <c r="R47" s="18">
        <v>16940</v>
      </c>
    </row>
    <row r="48" spans="1:19" ht="28.5" x14ac:dyDescent="0.25">
      <c r="A48" s="13" t="s">
        <v>166</v>
      </c>
      <c r="B48" s="14" t="s">
        <v>167</v>
      </c>
      <c r="C48" s="14"/>
      <c r="D48" s="14" t="s">
        <v>20</v>
      </c>
      <c r="E48" s="14"/>
      <c r="F48" s="13" t="s">
        <v>21</v>
      </c>
      <c r="G48" s="13">
        <v>5</v>
      </c>
      <c r="H48" s="14" t="s">
        <v>137</v>
      </c>
      <c r="I48" s="14" t="s">
        <v>138</v>
      </c>
      <c r="J48" s="4">
        <v>2025</v>
      </c>
      <c r="K48" s="13" t="s">
        <v>24</v>
      </c>
      <c r="L48" s="15">
        <v>45805</v>
      </c>
      <c r="M48" s="15" t="s">
        <v>168</v>
      </c>
      <c r="N48" s="15"/>
      <c r="O48" s="16">
        <v>3</v>
      </c>
      <c r="P48" s="16"/>
      <c r="Q48" s="17">
        <v>17908</v>
      </c>
      <c r="R48" s="18">
        <v>17204.02</v>
      </c>
    </row>
    <row r="49" spans="1:18" ht="50.1" customHeight="1" x14ac:dyDescent="0.25">
      <c r="A49" s="13" t="s">
        <v>169</v>
      </c>
      <c r="B49" s="14" t="s">
        <v>170</v>
      </c>
      <c r="C49" s="14"/>
      <c r="D49" s="14" t="s">
        <v>20</v>
      </c>
      <c r="E49" s="14"/>
      <c r="F49" s="13" t="s">
        <v>21</v>
      </c>
      <c r="G49" s="13">
        <v>2</v>
      </c>
      <c r="H49" s="14" t="s">
        <v>137</v>
      </c>
      <c r="I49" s="14" t="s">
        <v>138</v>
      </c>
      <c r="J49" s="4">
        <v>2025</v>
      </c>
      <c r="K49" s="13" t="s">
        <v>24</v>
      </c>
      <c r="L49" s="15">
        <v>45917</v>
      </c>
      <c r="M49" s="15" t="s">
        <v>171</v>
      </c>
      <c r="N49" s="15"/>
      <c r="O49" s="16">
        <v>4</v>
      </c>
      <c r="P49" s="16"/>
      <c r="Q49" s="17">
        <v>18029</v>
      </c>
      <c r="R49" s="19">
        <v>17847.5</v>
      </c>
    </row>
    <row r="50" spans="1:18" ht="28.5" x14ac:dyDescent="0.25">
      <c r="A50" s="13" t="s">
        <v>172</v>
      </c>
      <c r="B50" s="14" t="s">
        <v>173</v>
      </c>
      <c r="C50" s="14"/>
      <c r="D50" s="14" t="s">
        <v>20</v>
      </c>
      <c r="E50" s="14"/>
      <c r="F50" s="13" t="s">
        <v>76</v>
      </c>
      <c r="G50" s="13">
        <v>12</v>
      </c>
      <c r="H50" s="14" t="s">
        <v>137</v>
      </c>
      <c r="I50" s="14" t="s">
        <v>138</v>
      </c>
      <c r="J50" s="4">
        <v>2025</v>
      </c>
      <c r="K50" s="13" t="s">
        <v>24</v>
      </c>
      <c r="L50" s="15">
        <v>45831</v>
      </c>
      <c r="M50" s="15" t="s">
        <v>29</v>
      </c>
      <c r="N50" s="15"/>
      <c r="O50" s="16">
        <v>3</v>
      </c>
      <c r="P50" s="16"/>
      <c r="Q50" s="17">
        <v>11737</v>
      </c>
      <c r="R50" s="18">
        <v>11655.93</v>
      </c>
    </row>
    <row r="51" spans="1:18" ht="42.75" x14ac:dyDescent="0.25">
      <c r="A51" s="13" t="s">
        <v>174</v>
      </c>
      <c r="B51" s="14" t="s">
        <v>175</v>
      </c>
      <c r="C51" s="14"/>
      <c r="D51" s="14" t="s">
        <v>20</v>
      </c>
      <c r="E51" s="14"/>
      <c r="F51" s="13" t="s">
        <v>76</v>
      </c>
      <c r="G51" s="13">
        <v>2</v>
      </c>
      <c r="H51" s="14" t="s">
        <v>137</v>
      </c>
      <c r="I51" s="14" t="s">
        <v>138</v>
      </c>
      <c r="J51" s="4">
        <v>2025</v>
      </c>
      <c r="K51" s="13" t="s">
        <v>24</v>
      </c>
      <c r="L51" s="15">
        <v>45952</v>
      </c>
      <c r="M51" s="15" t="s">
        <v>176</v>
      </c>
      <c r="N51" s="15"/>
      <c r="O51" s="16">
        <v>5</v>
      </c>
      <c r="P51" s="16"/>
      <c r="Q51" s="17">
        <v>18029</v>
      </c>
      <c r="R51" s="18">
        <v>18029</v>
      </c>
    </row>
    <row r="52" spans="1:18" ht="68.45" customHeight="1" x14ac:dyDescent="0.25">
      <c r="A52" s="13" t="s">
        <v>177</v>
      </c>
      <c r="B52" s="14" t="s">
        <v>178</v>
      </c>
      <c r="C52" s="14"/>
      <c r="D52" s="14" t="s">
        <v>20</v>
      </c>
      <c r="E52" s="14"/>
      <c r="F52" s="13" t="s">
        <v>21</v>
      </c>
      <c r="G52" s="13">
        <v>12</v>
      </c>
      <c r="H52" s="14" t="s">
        <v>137</v>
      </c>
      <c r="I52" s="14" t="s">
        <v>138</v>
      </c>
      <c r="J52" s="4">
        <v>2025</v>
      </c>
      <c r="K52" s="13" t="s">
        <v>24</v>
      </c>
      <c r="L52" s="15">
        <v>45973</v>
      </c>
      <c r="M52" s="15" t="s">
        <v>179</v>
      </c>
      <c r="N52" s="15"/>
      <c r="O52" s="16">
        <v>5</v>
      </c>
      <c r="P52" s="16"/>
      <c r="Q52" s="17">
        <v>18089.5</v>
      </c>
      <c r="R52" s="18">
        <v>17545</v>
      </c>
    </row>
    <row r="53" spans="1:18" ht="40.5" customHeight="1" x14ac:dyDescent="0.25">
      <c r="A53" s="13" t="s">
        <v>180</v>
      </c>
      <c r="B53" s="14" t="s">
        <v>181</v>
      </c>
      <c r="C53" s="14"/>
      <c r="D53" s="14" t="s">
        <v>20</v>
      </c>
      <c r="E53" s="14"/>
      <c r="F53" s="13" t="s">
        <v>76</v>
      </c>
      <c r="G53" s="13">
        <v>0.5</v>
      </c>
      <c r="H53" s="14" t="s">
        <v>137</v>
      </c>
      <c r="I53" s="14" t="s">
        <v>138</v>
      </c>
      <c r="J53" s="4">
        <v>2025</v>
      </c>
      <c r="K53" s="13" t="s">
        <v>24</v>
      </c>
      <c r="L53" s="15">
        <v>45978</v>
      </c>
      <c r="M53" s="15" t="s">
        <v>162</v>
      </c>
      <c r="N53" s="15"/>
      <c r="O53" s="16">
        <v>3</v>
      </c>
      <c r="P53" s="16"/>
      <c r="Q53" s="17">
        <v>18029</v>
      </c>
      <c r="R53" s="18">
        <v>9348.65</v>
      </c>
    </row>
    <row r="54" spans="1:18" ht="42.75" x14ac:dyDescent="0.25">
      <c r="A54" s="13" t="s">
        <v>182</v>
      </c>
      <c r="B54" s="14" t="s">
        <v>183</v>
      </c>
      <c r="C54" s="14"/>
      <c r="D54" s="14" t="s">
        <v>20</v>
      </c>
      <c r="E54" s="14"/>
      <c r="F54" s="13" t="s">
        <v>21</v>
      </c>
      <c r="G54" s="13">
        <v>12</v>
      </c>
      <c r="H54" s="14" t="s">
        <v>137</v>
      </c>
      <c r="I54" s="14" t="s">
        <v>138</v>
      </c>
      <c r="J54" s="4">
        <v>2025</v>
      </c>
      <c r="K54" s="13" t="s">
        <v>24</v>
      </c>
      <c r="L54" s="15">
        <v>45681</v>
      </c>
      <c r="M54" s="15" t="s">
        <v>184</v>
      </c>
      <c r="N54" s="15"/>
      <c r="O54" s="16">
        <v>5</v>
      </c>
      <c r="P54" s="16"/>
      <c r="Q54" s="17">
        <v>18089.5</v>
      </c>
      <c r="R54" s="18">
        <v>17546</v>
      </c>
    </row>
    <row r="55" spans="1:18" ht="71.45" customHeight="1" x14ac:dyDescent="0.25">
      <c r="A55" s="13" t="s">
        <v>185</v>
      </c>
      <c r="B55" s="14" t="s">
        <v>186</v>
      </c>
      <c r="C55" s="14"/>
      <c r="D55" s="14" t="s">
        <v>20</v>
      </c>
      <c r="E55" s="14"/>
      <c r="F55" s="13" t="s">
        <v>21</v>
      </c>
      <c r="G55" s="13">
        <v>6</v>
      </c>
      <c r="H55" s="14" t="s">
        <v>137</v>
      </c>
      <c r="I55" s="14" t="s">
        <v>138</v>
      </c>
      <c r="J55" s="4">
        <v>2025</v>
      </c>
      <c r="K55" s="13" t="s">
        <v>24</v>
      </c>
      <c r="L55" s="15">
        <v>45810</v>
      </c>
      <c r="M55" s="15" t="s">
        <v>187</v>
      </c>
      <c r="N55" s="15"/>
      <c r="O55" s="16">
        <v>3</v>
      </c>
      <c r="P55" s="16"/>
      <c r="Q55" s="17">
        <v>18148.79</v>
      </c>
      <c r="R55" s="18">
        <v>17545</v>
      </c>
    </row>
    <row r="56" spans="1:18" s="20" customFormat="1" ht="72.95" customHeight="1" x14ac:dyDescent="0.25">
      <c r="A56" s="13" t="s">
        <v>188</v>
      </c>
      <c r="B56" s="14" t="s">
        <v>189</v>
      </c>
      <c r="C56" s="14"/>
      <c r="D56" s="14" t="s">
        <v>20</v>
      </c>
      <c r="E56" s="14"/>
      <c r="F56" s="13" t="s">
        <v>21</v>
      </c>
      <c r="G56" s="13">
        <v>12</v>
      </c>
      <c r="H56" s="14" t="s">
        <v>137</v>
      </c>
      <c r="I56" s="14" t="s">
        <v>138</v>
      </c>
      <c r="J56" s="4">
        <v>2025</v>
      </c>
      <c r="K56" s="13" t="s">
        <v>24</v>
      </c>
      <c r="L56" s="15">
        <v>45811</v>
      </c>
      <c r="M56" s="15" t="s">
        <v>190</v>
      </c>
      <c r="N56" s="15"/>
      <c r="O56" s="16">
        <v>1</v>
      </c>
      <c r="P56" s="16"/>
      <c r="Q56" s="17">
        <v>12000</v>
      </c>
      <c r="R56" s="18">
        <v>9000</v>
      </c>
    </row>
    <row r="57" spans="1:18" ht="61.5" customHeight="1" x14ac:dyDescent="0.25">
      <c r="A57" s="13" t="s">
        <v>191</v>
      </c>
      <c r="B57" s="14" t="s">
        <v>192</v>
      </c>
      <c r="C57" s="14"/>
      <c r="D57" s="14" t="s">
        <v>20</v>
      </c>
      <c r="E57" s="14"/>
      <c r="F57" s="13" t="s">
        <v>21</v>
      </c>
      <c r="G57" s="13">
        <v>12</v>
      </c>
      <c r="H57" s="14" t="s">
        <v>137</v>
      </c>
      <c r="I57" s="14" t="s">
        <v>138</v>
      </c>
      <c r="J57" s="4">
        <v>2025</v>
      </c>
      <c r="K57" s="13" t="s">
        <v>24</v>
      </c>
      <c r="L57" s="15">
        <v>45810</v>
      </c>
      <c r="M57" s="15" t="s">
        <v>193</v>
      </c>
      <c r="N57" s="15"/>
      <c r="O57" s="16">
        <v>1</v>
      </c>
      <c r="P57" s="16"/>
      <c r="Q57" s="17">
        <v>8349</v>
      </c>
      <c r="R57" s="18">
        <v>7483.08</v>
      </c>
    </row>
    <row r="58" spans="1:18" s="20" customFormat="1" ht="77.45" customHeight="1" x14ac:dyDescent="0.25">
      <c r="A58" s="13" t="s">
        <v>194</v>
      </c>
      <c r="B58" s="14" t="s">
        <v>195</v>
      </c>
      <c r="C58" s="14"/>
      <c r="D58" s="14" t="s">
        <v>20</v>
      </c>
      <c r="E58" s="14"/>
      <c r="F58" s="13" t="s">
        <v>21</v>
      </c>
      <c r="G58" s="13">
        <v>12</v>
      </c>
      <c r="H58" s="14" t="s">
        <v>137</v>
      </c>
      <c r="I58" s="14" t="s">
        <v>138</v>
      </c>
      <c r="J58" s="4">
        <v>2025</v>
      </c>
      <c r="K58" s="13" t="s">
        <v>24</v>
      </c>
      <c r="L58" s="15">
        <v>45849</v>
      </c>
      <c r="M58" s="15" t="s">
        <v>122</v>
      </c>
      <c r="N58" s="15"/>
      <c r="O58" s="16">
        <v>3</v>
      </c>
      <c r="P58" s="16"/>
      <c r="Q58" s="17">
        <v>18029</v>
      </c>
      <c r="R58" s="17">
        <v>18029</v>
      </c>
    </row>
    <row r="59" spans="1:18" ht="57.95" customHeight="1" x14ac:dyDescent="0.25">
      <c r="A59" s="13" t="s">
        <v>196</v>
      </c>
      <c r="B59" s="14" t="s">
        <v>197</v>
      </c>
      <c r="C59" s="14"/>
      <c r="D59" s="14" t="s">
        <v>20</v>
      </c>
      <c r="E59" s="14"/>
      <c r="F59" s="13" t="s">
        <v>21</v>
      </c>
      <c r="G59" s="13">
        <v>7</v>
      </c>
      <c r="H59" s="14" t="s">
        <v>137</v>
      </c>
      <c r="I59" s="14" t="s">
        <v>138</v>
      </c>
      <c r="J59" s="4">
        <v>2025</v>
      </c>
      <c r="K59" s="13" t="s">
        <v>24</v>
      </c>
      <c r="L59" s="15">
        <v>45750</v>
      </c>
      <c r="M59" s="15" t="s">
        <v>198</v>
      </c>
      <c r="N59" s="15"/>
      <c r="O59" s="16">
        <v>5</v>
      </c>
      <c r="P59" s="16"/>
      <c r="Q59" s="17">
        <v>9680</v>
      </c>
      <c r="R59" s="18">
        <v>4640</v>
      </c>
    </row>
    <row r="60" spans="1:18" ht="53.1" customHeight="1" x14ac:dyDescent="0.25">
      <c r="A60" s="13" t="s">
        <v>199</v>
      </c>
      <c r="B60" s="14" t="s">
        <v>200</v>
      </c>
      <c r="C60" s="14"/>
      <c r="D60" s="14" t="s">
        <v>20</v>
      </c>
      <c r="E60" s="14"/>
      <c r="F60" s="13" t="s">
        <v>21</v>
      </c>
      <c r="G60" s="13">
        <v>7</v>
      </c>
      <c r="H60" s="14" t="s">
        <v>137</v>
      </c>
      <c r="I60" s="14" t="s">
        <v>138</v>
      </c>
      <c r="J60" s="4">
        <v>2025</v>
      </c>
      <c r="K60" s="13" t="s">
        <v>24</v>
      </c>
      <c r="L60" s="15">
        <v>45750</v>
      </c>
      <c r="M60" s="15" t="s">
        <v>201</v>
      </c>
      <c r="N60" s="15"/>
      <c r="O60" s="16">
        <v>6</v>
      </c>
      <c r="P60" s="16"/>
      <c r="Q60" s="17">
        <v>9680</v>
      </c>
      <c r="R60" s="18">
        <v>4000</v>
      </c>
    </row>
    <row r="61" spans="1:18" ht="42.75" x14ac:dyDescent="0.25">
      <c r="A61" s="13" t="s">
        <v>202</v>
      </c>
      <c r="B61" s="14" t="s">
        <v>203</v>
      </c>
      <c r="C61" s="14"/>
      <c r="D61" s="14" t="s">
        <v>20</v>
      </c>
      <c r="E61" s="14"/>
      <c r="F61" s="13" t="s">
        <v>21</v>
      </c>
      <c r="G61" s="13">
        <v>7</v>
      </c>
      <c r="H61" s="14" t="s">
        <v>137</v>
      </c>
      <c r="I61" s="14" t="s">
        <v>138</v>
      </c>
      <c r="J61" s="4">
        <v>2025</v>
      </c>
      <c r="K61" s="13" t="s">
        <v>24</v>
      </c>
      <c r="L61" s="15">
        <v>45750</v>
      </c>
      <c r="M61" s="15" t="s">
        <v>204</v>
      </c>
      <c r="N61" s="15"/>
      <c r="O61" s="16">
        <v>5</v>
      </c>
      <c r="P61" s="16"/>
      <c r="Q61" s="17">
        <v>17908</v>
      </c>
      <c r="R61" s="19">
        <v>5846</v>
      </c>
    </row>
    <row r="62" spans="1:18" ht="85.5" x14ac:dyDescent="0.25">
      <c r="A62" s="13" t="s">
        <v>205</v>
      </c>
      <c r="B62" s="14" t="s">
        <v>206</v>
      </c>
      <c r="C62" s="14"/>
      <c r="D62" s="14" t="s">
        <v>20</v>
      </c>
      <c r="E62" s="14"/>
      <c r="F62" s="13" t="s">
        <v>21</v>
      </c>
      <c r="G62" s="13">
        <v>3</v>
      </c>
      <c r="H62" s="14" t="s">
        <v>137</v>
      </c>
      <c r="I62" s="14" t="s">
        <v>138</v>
      </c>
      <c r="J62" s="4">
        <v>2025</v>
      </c>
      <c r="K62" s="13" t="s">
        <v>24</v>
      </c>
      <c r="L62" s="15">
        <v>45874</v>
      </c>
      <c r="M62" s="13" t="s">
        <v>207</v>
      </c>
      <c r="N62" s="13"/>
      <c r="O62" s="16">
        <v>3</v>
      </c>
      <c r="P62" s="16"/>
      <c r="Q62" s="17">
        <v>18148.79</v>
      </c>
      <c r="R62" s="18">
        <v>14210</v>
      </c>
    </row>
    <row r="63" spans="1:18" ht="97.5" customHeight="1" x14ac:dyDescent="0.25">
      <c r="A63" s="13" t="s">
        <v>208</v>
      </c>
      <c r="B63" s="14" t="s">
        <v>209</v>
      </c>
      <c r="C63" s="14"/>
      <c r="D63" s="14" t="s">
        <v>20</v>
      </c>
      <c r="E63" s="14"/>
      <c r="F63" s="13" t="s">
        <v>21</v>
      </c>
      <c r="G63" s="13">
        <v>3</v>
      </c>
      <c r="H63" s="14" t="s">
        <v>137</v>
      </c>
      <c r="I63" s="14" t="s">
        <v>138</v>
      </c>
      <c r="J63" s="4">
        <v>2025</v>
      </c>
      <c r="K63" s="13" t="s">
        <v>24</v>
      </c>
      <c r="L63" s="15">
        <v>45889</v>
      </c>
      <c r="M63" s="15" t="s">
        <v>171</v>
      </c>
      <c r="N63" s="15"/>
      <c r="O63" s="16">
        <v>3</v>
      </c>
      <c r="P63" s="16"/>
      <c r="Q63" s="17">
        <v>18148.79</v>
      </c>
      <c r="R63" s="18">
        <v>16171.65</v>
      </c>
    </row>
    <row r="64" spans="1:18" ht="75.95" customHeight="1" x14ac:dyDescent="0.25">
      <c r="A64" s="13" t="s">
        <v>210</v>
      </c>
      <c r="B64" s="14" t="s">
        <v>211</v>
      </c>
      <c r="C64" s="14"/>
      <c r="D64" s="14" t="s">
        <v>20</v>
      </c>
      <c r="E64" s="14"/>
      <c r="F64" s="13" t="s">
        <v>21</v>
      </c>
      <c r="G64" s="13">
        <v>0.5</v>
      </c>
      <c r="H64" s="14" t="s">
        <v>137</v>
      </c>
      <c r="I64" s="14" t="s">
        <v>138</v>
      </c>
      <c r="J64" s="4">
        <v>2025</v>
      </c>
      <c r="K64" s="13" t="s">
        <v>24</v>
      </c>
      <c r="L64" s="15">
        <v>45975</v>
      </c>
      <c r="M64" s="15" t="s">
        <v>207</v>
      </c>
      <c r="N64" s="15"/>
      <c r="O64" s="16">
        <v>3</v>
      </c>
      <c r="P64" s="16"/>
      <c r="Q64" s="17">
        <v>14641</v>
      </c>
      <c r="R64" s="18">
        <v>5806</v>
      </c>
    </row>
    <row r="65" spans="1:18" ht="57" x14ac:dyDescent="0.25">
      <c r="A65" s="13" t="s">
        <v>212</v>
      </c>
      <c r="B65" s="14" t="s">
        <v>213</v>
      </c>
      <c r="C65" s="14"/>
      <c r="D65" s="14" t="s">
        <v>20</v>
      </c>
      <c r="E65" s="14"/>
      <c r="F65" s="13" t="s">
        <v>21</v>
      </c>
      <c r="G65" s="13">
        <v>10</v>
      </c>
      <c r="H65" s="14" t="s">
        <v>137</v>
      </c>
      <c r="I65" s="14" t="s">
        <v>138</v>
      </c>
      <c r="J65" s="4">
        <v>2025</v>
      </c>
      <c r="K65" s="13" t="s">
        <v>24</v>
      </c>
      <c r="L65" s="15">
        <v>45824</v>
      </c>
      <c r="M65" s="15" t="s">
        <v>214</v>
      </c>
      <c r="N65" s="15"/>
      <c r="O65" s="16">
        <v>4</v>
      </c>
      <c r="P65" s="16"/>
      <c r="Q65" s="17">
        <f>7255.16+10882.74</f>
        <v>18137.900000000001</v>
      </c>
      <c r="R65" s="17">
        <f>7255.16+10882.74</f>
        <v>18137.900000000001</v>
      </c>
    </row>
    <row r="66" spans="1:18" ht="28.5" x14ac:dyDescent="0.25">
      <c r="A66" s="13" t="s">
        <v>215</v>
      </c>
      <c r="B66" s="14" t="s">
        <v>216</v>
      </c>
      <c r="C66" s="14"/>
      <c r="D66" s="14" t="s">
        <v>20</v>
      </c>
      <c r="E66" s="14"/>
      <c r="F66" s="13" t="s">
        <v>76</v>
      </c>
      <c r="G66" s="13">
        <v>0.5</v>
      </c>
      <c r="H66" s="14" t="s">
        <v>137</v>
      </c>
      <c r="I66" s="14" t="s">
        <v>138</v>
      </c>
      <c r="J66" s="4">
        <v>2025</v>
      </c>
      <c r="K66" s="13" t="s">
        <v>24</v>
      </c>
      <c r="L66" s="15">
        <v>45861</v>
      </c>
      <c r="M66" s="15" t="s">
        <v>217</v>
      </c>
      <c r="N66" s="15"/>
      <c r="O66" s="16">
        <v>4</v>
      </c>
      <c r="P66" s="16"/>
      <c r="Q66" s="17">
        <v>14520</v>
      </c>
      <c r="R66" s="18">
        <v>8103.25</v>
      </c>
    </row>
    <row r="67" spans="1:18" ht="42.75" x14ac:dyDescent="0.25">
      <c r="A67" s="13" t="s">
        <v>218</v>
      </c>
      <c r="B67" s="14" t="s">
        <v>219</v>
      </c>
      <c r="C67" s="14"/>
      <c r="D67" s="14" t="s">
        <v>20</v>
      </c>
      <c r="E67" s="14"/>
      <c r="F67" s="13" t="s">
        <v>21</v>
      </c>
      <c r="G67" s="13">
        <v>6</v>
      </c>
      <c r="H67" s="14" t="s">
        <v>137</v>
      </c>
      <c r="I67" s="14" t="s">
        <v>138</v>
      </c>
      <c r="J67" s="4">
        <v>2025</v>
      </c>
      <c r="K67" s="13" t="s">
        <v>24</v>
      </c>
      <c r="L67" s="15">
        <v>45925</v>
      </c>
      <c r="M67" s="15" t="s">
        <v>220</v>
      </c>
      <c r="N67" s="15"/>
      <c r="O67" s="16">
        <v>4</v>
      </c>
      <c r="P67" s="16"/>
      <c r="Q67" s="17">
        <v>18029</v>
      </c>
      <c r="R67" s="17">
        <v>13158.75</v>
      </c>
    </row>
    <row r="68" spans="1:18" ht="71.25" x14ac:dyDescent="0.25">
      <c r="A68" s="13" t="s">
        <v>221</v>
      </c>
      <c r="B68" s="14" t="s">
        <v>222</v>
      </c>
      <c r="C68" s="14"/>
      <c r="D68" s="14" t="s">
        <v>20</v>
      </c>
      <c r="E68" s="14"/>
      <c r="F68" s="13" t="s">
        <v>76</v>
      </c>
      <c r="G68" s="13">
        <v>0.67</v>
      </c>
      <c r="H68" s="14" t="s">
        <v>137</v>
      </c>
      <c r="I68" s="14" t="s">
        <v>138</v>
      </c>
      <c r="J68" s="4">
        <v>2025</v>
      </c>
      <c r="K68" s="13" t="s">
        <v>24</v>
      </c>
      <c r="L68" s="15">
        <v>45968</v>
      </c>
      <c r="M68" s="15" t="s">
        <v>217</v>
      </c>
      <c r="N68" s="15"/>
      <c r="O68" s="16">
        <v>5</v>
      </c>
      <c r="P68" s="16"/>
      <c r="Q68" s="17">
        <v>5566</v>
      </c>
      <c r="R68" s="18">
        <v>4477.67</v>
      </c>
    </row>
    <row r="69" spans="1:18" ht="57" customHeight="1" x14ac:dyDescent="0.25">
      <c r="A69" s="13" t="s">
        <v>223</v>
      </c>
      <c r="B69" s="14" t="s">
        <v>224</v>
      </c>
      <c r="C69" s="14"/>
      <c r="D69" s="14" t="s">
        <v>20</v>
      </c>
      <c r="E69" s="14"/>
      <c r="F69" s="13" t="s">
        <v>76</v>
      </c>
      <c r="G69" s="13">
        <v>1</v>
      </c>
      <c r="H69" s="14" t="s">
        <v>137</v>
      </c>
      <c r="I69" s="14" t="s">
        <v>138</v>
      </c>
      <c r="J69" s="4">
        <v>2025</v>
      </c>
      <c r="K69" s="13" t="s">
        <v>24</v>
      </c>
      <c r="L69" s="15">
        <v>45972</v>
      </c>
      <c r="M69" s="15" t="s">
        <v>225</v>
      </c>
      <c r="N69" s="15"/>
      <c r="O69" s="16">
        <v>4</v>
      </c>
      <c r="P69" s="16"/>
      <c r="Q69" s="17">
        <v>8470</v>
      </c>
      <c r="R69" s="17">
        <v>3703.51</v>
      </c>
    </row>
    <row r="70" spans="1:18" ht="80.45" customHeight="1" x14ac:dyDescent="0.25">
      <c r="A70" s="13" t="s">
        <v>226</v>
      </c>
      <c r="B70" s="14" t="s">
        <v>227</v>
      </c>
      <c r="C70" s="14"/>
      <c r="D70" s="14" t="s">
        <v>20</v>
      </c>
      <c r="E70" s="14"/>
      <c r="F70" s="13" t="s">
        <v>21</v>
      </c>
      <c r="G70" s="13">
        <v>12</v>
      </c>
      <c r="H70" s="14" t="s">
        <v>137</v>
      </c>
      <c r="I70" s="14" t="s">
        <v>138</v>
      </c>
      <c r="J70" s="4">
        <v>2025</v>
      </c>
      <c r="K70" s="13" t="s">
        <v>24</v>
      </c>
      <c r="L70" s="15">
        <v>45994</v>
      </c>
      <c r="M70" s="15" t="s">
        <v>228</v>
      </c>
      <c r="N70" s="15"/>
      <c r="O70" s="16">
        <v>5</v>
      </c>
      <c r="P70" s="16"/>
      <c r="Q70" s="17">
        <v>19118.740000000002</v>
      </c>
      <c r="R70" s="18">
        <v>15436.39</v>
      </c>
    </row>
    <row r="71" spans="1:18" ht="112.5" customHeight="1" x14ac:dyDescent="0.25">
      <c r="A71" s="13" t="s">
        <v>229</v>
      </c>
      <c r="B71" s="14" t="s">
        <v>230</v>
      </c>
      <c r="C71" s="14"/>
      <c r="D71" s="14" t="s">
        <v>20</v>
      </c>
      <c r="E71" s="14"/>
      <c r="F71" s="13" t="s">
        <v>76</v>
      </c>
      <c r="G71" s="13">
        <v>3</v>
      </c>
      <c r="H71" s="14" t="s">
        <v>137</v>
      </c>
      <c r="I71" s="14" t="s">
        <v>138</v>
      </c>
      <c r="J71" s="4">
        <v>2025</v>
      </c>
      <c r="K71" s="13" t="s">
        <v>24</v>
      </c>
      <c r="L71" s="15">
        <v>45726</v>
      </c>
      <c r="M71" s="15" t="s">
        <v>131</v>
      </c>
      <c r="N71" s="15"/>
      <c r="O71" s="16">
        <v>4</v>
      </c>
      <c r="P71" s="16"/>
      <c r="Q71" s="17">
        <v>3206.5</v>
      </c>
      <c r="R71" s="18">
        <v>2459.69</v>
      </c>
    </row>
    <row r="72" spans="1:18" ht="84.6" customHeight="1" x14ac:dyDescent="0.25">
      <c r="A72" s="13" t="s">
        <v>231</v>
      </c>
      <c r="B72" s="14" t="s">
        <v>232</v>
      </c>
      <c r="C72" s="14"/>
      <c r="D72" s="14" t="s">
        <v>20</v>
      </c>
      <c r="E72" s="14"/>
      <c r="F72" s="13" t="s">
        <v>76</v>
      </c>
      <c r="G72" s="13">
        <v>3</v>
      </c>
      <c r="H72" s="14" t="s">
        <v>137</v>
      </c>
      <c r="I72" s="14" t="s">
        <v>138</v>
      </c>
      <c r="J72" s="4">
        <v>2025</v>
      </c>
      <c r="K72" s="13" t="s">
        <v>24</v>
      </c>
      <c r="L72" s="15">
        <v>45713</v>
      </c>
      <c r="M72" s="15" t="s">
        <v>233</v>
      </c>
      <c r="N72" s="15"/>
      <c r="O72" s="16">
        <v>3</v>
      </c>
      <c r="P72" s="16"/>
      <c r="Q72" s="17">
        <v>2541</v>
      </c>
      <c r="R72" s="17">
        <v>1934.41</v>
      </c>
    </row>
    <row r="73" spans="1:18" ht="85.5" x14ac:dyDescent="0.25">
      <c r="A73" s="13" t="s">
        <v>234</v>
      </c>
      <c r="B73" s="14" t="s">
        <v>235</v>
      </c>
      <c r="C73" s="14"/>
      <c r="D73" s="14" t="s">
        <v>20</v>
      </c>
      <c r="E73" s="14"/>
      <c r="F73" s="13" t="s">
        <v>76</v>
      </c>
      <c r="G73" s="13">
        <v>3</v>
      </c>
      <c r="H73" s="14" t="s">
        <v>137</v>
      </c>
      <c r="I73" s="14" t="s">
        <v>138</v>
      </c>
      <c r="J73" s="4">
        <v>2025</v>
      </c>
      <c r="K73" s="13" t="s">
        <v>24</v>
      </c>
      <c r="L73" s="15">
        <v>45720</v>
      </c>
      <c r="M73" s="15" t="s">
        <v>236</v>
      </c>
      <c r="N73" s="15"/>
      <c r="O73" s="16">
        <v>3</v>
      </c>
      <c r="P73" s="16"/>
      <c r="Q73" s="17">
        <v>2086.5</v>
      </c>
      <c r="R73" s="17">
        <v>1956.74</v>
      </c>
    </row>
    <row r="74" spans="1:18" ht="84.6" customHeight="1" x14ac:dyDescent="0.25">
      <c r="A74" s="13" t="s">
        <v>237</v>
      </c>
      <c r="B74" s="14" t="s">
        <v>238</v>
      </c>
      <c r="C74" s="14"/>
      <c r="D74" s="14" t="s">
        <v>20</v>
      </c>
      <c r="E74" s="14"/>
      <c r="F74" s="13" t="s">
        <v>76</v>
      </c>
      <c r="G74" s="13">
        <v>3</v>
      </c>
      <c r="H74" s="14" t="s">
        <v>137</v>
      </c>
      <c r="I74" s="14" t="s">
        <v>138</v>
      </c>
      <c r="J74" s="4">
        <v>2025</v>
      </c>
      <c r="K74" s="13" t="s">
        <v>24</v>
      </c>
      <c r="L74" s="15">
        <v>45712</v>
      </c>
      <c r="M74" s="15" t="s">
        <v>239</v>
      </c>
      <c r="N74" s="15"/>
      <c r="O74" s="16">
        <v>3</v>
      </c>
      <c r="P74" s="16"/>
      <c r="Q74" s="17">
        <v>913.55</v>
      </c>
      <c r="R74" s="18">
        <v>760.67</v>
      </c>
    </row>
    <row r="75" spans="1:18" ht="71.25" x14ac:dyDescent="0.25">
      <c r="A75" s="13" t="s">
        <v>240</v>
      </c>
      <c r="B75" s="14" t="s">
        <v>241</v>
      </c>
      <c r="C75" s="14"/>
      <c r="D75" s="14" t="s">
        <v>20</v>
      </c>
      <c r="E75" s="14"/>
      <c r="F75" s="13" t="s">
        <v>76</v>
      </c>
      <c r="G75" s="13">
        <v>3</v>
      </c>
      <c r="H75" s="14" t="s">
        <v>137</v>
      </c>
      <c r="I75" s="14" t="s">
        <v>138</v>
      </c>
      <c r="J75" s="4">
        <v>2025</v>
      </c>
      <c r="K75" s="13" t="s">
        <v>24</v>
      </c>
      <c r="L75" s="15">
        <v>45726</v>
      </c>
      <c r="M75" s="15" t="s">
        <v>242</v>
      </c>
      <c r="N75" s="15"/>
      <c r="O75" s="16">
        <v>3</v>
      </c>
      <c r="P75" s="16"/>
      <c r="Q75" s="17">
        <v>1415.7</v>
      </c>
      <c r="R75" s="18">
        <v>1004.3</v>
      </c>
    </row>
    <row r="76" spans="1:18" ht="81" customHeight="1" x14ac:dyDescent="0.25">
      <c r="A76" s="13" t="s">
        <v>243</v>
      </c>
      <c r="B76" s="14" t="s">
        <v>244</v>
      </c>
      <c r="C76" s="14"/>
      <c r="D76" s="14" t="s">
        <v>20</v>
      </c>
      <c r="E76" s="14"/>
      <c r="F76" s="13" t="s">
        <v>21</v>
      </c>
      <c r="G76" s="13">
        <v>3</v>
      </c>
      <c r="H76" s="14" t="s">
        <v>137</v>
      </c>
      <c r="I76" s="14" t="s">
        <v>138</v>
      </c>
      <c r="J76" s="4">
        <v>2025</v>
      </c>
      <c r="K76" s="13" t="s">
        <v>24</v>
      </c>
      <c r="L76" s="15">
        <v>45873</v>
      </c>
      <c r="M76" s="15" t="s">
        <v>245</v>
      </c>
      <c r="N76" s="15"/>
      <c r="O76" s="16">
        <v>4</v>
      </c>
      <c r="P76" s="16"/>
      <c r="Q76" s="17">
        <v>9925</v>
      </c>
      <c r="R76" s="18">
        <v>6878.85</v>
      </c>
    </row>
    <row r="77" spans="1:18" ht="66.95" customHeight="1" x14ac:dyDescent="0.25">
      <c r="A77" s="13" t="s">
        <v>246</v>
      </c>
      <c r="B77" s="14" t="s">
        <v>247</v>
      </c>
      <c r="C77" s="14"/>
      <c r="D77" s="14" t="s">
        <v>20</v>
      </c>
      <c r="E77" s="14"/>
      <c r="F77" s="13" t="s">
        <v>21</v>
      </c>
      <c r="G77" s="13">
        <v>3</v>
      </c>
      <c r="H77" s="14" t="s">
        <v>137</v>
      </c>
      <c r="I77" s="14" t="s">
        <v>138</v>
      </c>
      <c r="J77" s="4">
        <v>2025</v>
      </c>
      <c r="K77" s="13" t="s">
        <v>24</v>
      </c>
      <c r="L77" s="15">
        <v>45869</v>
      </c>
      <c r="M77" s="15" t="s">
        <v>245</v>
      </c>
      <c r="N77" s="15"/>
      <c r="O77" s="16">
        <v>4</v>
      </c>
      <c r="P77" s="16"/>
      <c r="Q77" s="17">
        <v>2600</v>
      </c>
      <c r="R77" s="18">
        <v>1960.2</v>
      </c>
    </row>
    <row r="78" spans="1:18" ht="72.95" customHeight="1" x14ac:dyDescent="0.25">
      <c r="A78" s="13" t="s">
        <v>248</v>
      </c>
      <c r="B78" s="14" t="s">
        <v>249</v>
      </c>
      <c r="C78" s="14"/>
      <c r="D78" s="14" t="s">
        <v>20</v>
      </c>
      <c r="E78" s="14"/>
      <c r="F78" s="13" t="s">
        <v>136</v>
      </c>
      <c r="G78" s="13">
        <v>2</v>
      </c>
      <c r="H78" s="14" t="s">
        <v>137</v>
      </c>
      <c r="I78" s="14" t="s">
        <v>138</v>
      </c>
      <c r="J78" s="4">
        <v>2025</v>
      </c>
      <c r="K78" s="13" t="s">
        <v>24</v>
      </c>
      <c r="L78" s="15">
        <v>45714</v>
      </c>
      <c r="M78" s="15" t="s">
        <v>250</v>
      </c>
      <c r="N78" s="15"/>
      <c r="O78" s="16">
        <v>4</v>
      </c>
      <c r="P78" s="16"/>
      <c r="Q78" s="17">
        <v>15000.01</v>
      </c>
      <c r="R78" s="18">
        <v>11686.66</v>
      </c>
    </row>
    <row r="79" spans="1:18" ht="83.1" customHeight="1" x14ac:dyDescent="0.25">
      <c r="A79" s="13" t="s">
        <v>251</v>
      </c>
      <c r="B79" s="14" t="s">
        <v>252</v>
      </c>
      <c r="C79" s="14"/>
      <c r="D79" s="14" t="s">
        <v>20</v>
      </c>
      <c r="E79" s="14"/>
      <c r="F79" s="13" t="s">
        <v>76</v>
      </c>
      <c r="G79" s="13">
        <v>3</v>
      </c>
      <c r="H79" s="14" t="s">
        <v>137</v>
      </c>
      <c r="I79" s="14" t="s">
        <v>138</v>
      </c>
      <c r="J79" s="4">
        <v>2025</v>
      </c>
      <c r="K79" s="13" t="s">
        <v>24</v>
      </c>
      <c r="L79" s="15">
        <v>45698</v>
      </c>
      <c r="M79" s="15" t="s">
        <v>253</v>
      </c>
      <c r="N79" s="15"/>
      <c r="O79" s="16">
        <v>3</v>
      </c>
      <c r="P79" s="16"/>
      <c r="Q79" s="17">
        <v>9196</v>
      </c>
      <c r="R79" s="18">
        <v>7019.77</v>
      </c>
    </row>
    <row r="80" spans="1:18" ht="73.5" customHeight="1" x14ac:dyDescent="0.25">
      <c r="A80" s="13" t="s">
        <v>254</v>
      </c>
      <c r="B80" s="14" t="s">
        <v>255</v>
      </c>
      <c r="C80" s="14"/>
      <c r="D80" s="14" t="s">
        <v>20</v>
      </c>
      <c r="E80" s="14"/>
      <c r="F80" s="13" t="s">
        <v>76</v>
      </c>
      <c r="G80" s="13">
        <v>1</v>
      </c>
      <c r="H80" s="14" t="s">
        <v>137</v>
      </c>
      <c r="I80" s="14" t="s">
        <v>138</v>
      </c>
      <c r="J80" s="4">
        <v>2025</v>
      </c>
      <c r="K80" s="13" t="s">
        <v>24</v>
      </c>
      <c r="L80" s="15">
        <v>45719</v>
      </c>
      <c r="M80" s="15" t="s">
        <v>256</v>
      </c>
      <c r="N80" s="15"/>
      <c r="O80" s="16">
        <v>3</v>
      </c>
      <c r="P80" s="16"/>
      <c r="Q80" s="17">
        <v>16940</v>
      </c>
      <c r="R80" s="18">
        <v>7961.8</v>
      </c>
    </row>
    <row r="81" spans="1:18" ht="93.95" customHeight="1" x14ac:dyDescent="0.25">
      <c r="A81" s="13" t="s">
        <v>257</v>
      </c>
      <c r="B81" s="14" t="s">
        <v>258</v>
      </c>
      <c r="C81" s="14"/>
      <c r="D81" s="14" t="s">
        <v>20</v>
      </c>
      <c r="E81" s="14"/>
      <c r="F81" s="13" t="s">
        <v>21</v>
      </c>
      <c r="G81" s="13">
        <v>0.03</v>
      </c>
      <c r="H81" s="14" t="s">
        <v>137</v>
      </c>
      <c r="I81" s="14" t="s">
        <v>138</v>
      </c>
      <c r="J81" s="4">
        <v>2025</v>
      </c>
      <c r="K81" s="13" t="s">
        <v>24</v>
      </c>
      <c r="L81" s="15">
        <v>45701</v>
      </c>
      <c r="M81" s="15" t="s">
        <v>259</v>
      </c>
      <c r="N81" s="15"/>
      <c r="O81" s="16">
        <v>3</v>
      </c>
      <c r="P81" s="16"/>
      <c r="Q81" s="17">
        <v>18000</v>
      </c>
      <c r="R81" s="18">
        <v>7228.82</v>
      </c>
    </row>
    <row r="82" spans="1:18" ht="71.25" x14ac:dyDescent="0.25">
      <c r="A82" s="13" t="s">
        <v>260</v>
      </c>
      <c r="B82" s="14" t="s">
        <v>261</v>
      </c>
      <c r="C82" s="14"/>
      <c r="D82" s="14" t="s">
        <v>20</v>
      </c>
      <c r="E82" s="14"/>
      <c r="F82" s="13" t="s">
        <v>21</v>
      </c>
      <c r="G82" s="13">
        <v>2</v>
      </c>
      <c r="H82" s="14" t="s">
        <v>137</v>
      </c>
      <c r="I82" s="14" t="s">
        <v>138</v>
      </c>
      <c r="J82" s="4">
        <v>2025</v>
      </c>
      <c r="K82" s="13" t="s">
        <v>24</v>
      </c>
      <c r="L82" s="15">
        <v>45784</v>
      </c>
      <c r="M82" s="15" t="s">
        <v>262</v>
      </c>
      <c r="N82" s="15"/>
      <c r="O82" s="16">
        <v>4</v>
      </c>
      <c r="P82" s="16"/>
      <c r="Q82" s="17">
        <v>14999</v>
      </c>
      <c r="R82" s="18">
        <v>7986</v>
      </c>
    </row>
    <row r="83" spans="1:18" ht="85.5" x14ac:dyDescent="0.25">
      <c r="A83" s="13" t="s">
        <v>263</v>
      </c>
      <c r="B83" s="14" t="s">
        <v>264</v>
      </c>
      <c r="C83" s="14"/>
      <c r="D83" s="14" t="s">
        <v>20</v>
      </c>
      <c r="E83" s="14"/>
      <c r="F83" s="13" t="s">
        <v>21</v>
      </c>
      <c r="G83" s="13">
        <v>12</v>
      </c>
      <c r="H83" s="14" t="s">
        <v>137</v>
      </c>
      <c r="I83" s="14" t="s">
        <v>138</v>
      </c>
      <c r="J83" s="4">
        <v>2025</v>
      </c>
      <c r="K83" s="13" t="s">
        <v>24</v>
      </c>
      <c r="L83" s="15">
        <v>45803</v>
      </c>
      <c r="M83" s="15" t="s">
        <v>265</v>
      </c>
      <c r="N83" s="15"/>
      <c r="O83" s="16">
        <v>10</v>
      </c>
      <c r="P83" s="16"/>
      <c r="Q83" s="17">
        <v>15515</v>
      </c>
      <c r="R83" s="18">
        <v>12412</v>
      </c>
    </row>
    <row r="84" spans="1:18" ht="90" customHeight="1" x14ac:dyDescent="0.25">
      <c r="A84" s="13" t="s">
        <v>266</v>
      </c>
      <c r="B84" s="14" t="s">
        <v>267</v>
      </c>
      <c r="C84" s="14"/>
      <c r="D84" s="14" t="s">
        <v>20</v>
      </c>
      <c r="E84" s="14"/>
      <c r="F84" s="13" t="s">
        <v>136</v>
      </c>
      <c r="G84" s="13">
        <v>4</v>
      </c>
      <c r="H84" s="14" t="s">
        <v>137</v>
      </c>
      <c r="I84" s="14" t="s">
        <v>138</v>
      </c>
      <c r="J84" s="4">
        <v>2025</v>
      </c>
      <c r="K84" s="13" t="s">
        <v>24</v>
      </c>
      <c r="L84" s="15">
        <v>45832</v>
      </c>
      <c r="M84" s="15" t="s">
        <v>268</v>
      </c>
      <c r="N84" s="15"/>
      <c r="O84" s="16">
        <v>4</v>
      </c>
      <c r="P84" s="16"/>
      <c r="Q84" s="17">
        <v>48096.66</v>
      </c>
      <c r="R84" s="18">
        <v>26732.45</v>
      </c>
    </row>
    <row r="85" spans="1:18" ht="42.75" x14ac:dyDescent="0.25">
      <c r="A85" s="13" t="s">
        <v>269</v>
      </c>
      <c r="B85" s="14" t="s">
        <v>270</v>
      </c>
      <c r="C85" s="14"/>
      <c r="D85" s="14" t="s">
        <v>20</v>
      </c>
      <c r="E85" s="14"/>
      <c r="F85" s="13" t="s">
        <v>76</v>
      </c>
      <c r="G85" s="13">
        <v>3</v>
      </c>
      <c r="H85" s="14" t="s">
        <v>137</v>
      </c>
      <c r="I85" s="14" t="s">
        <v>138</v>
      </c>
      <c r="J85" s="4">
        <v>2025</v>
      </c>
      <c r="K85" s="13" t="s">
        <v>24</v>
      </c>
      <c r="L85" s="15">
        <v>45832</v>
      </c>
      <c r="M85" s="15" t="s">
        <v>271</v>
      </c>
      <c r="N85" s="15"/>
      <c r="O85" s="16">
        <v>4</v>
      </c>
      <c r="P85" s="16"/>
      <c r="Q85" s="17">
        <v>1452</v>
      </c>
      <c r="R85" s="18">
        <v>1431.53</v>
      </c>
    </row>
    <row r="86" spans="1:18" ht="42.75" x14ac:dyDescent="0.25">
      <c r="A86" s="13" t="s">
        <v>272</v>
      </c>
      <c r="B86" s="14" t="s">
        <v>273</v>
      </c>
      <c r="C86" s="14"/>
      <c r="D86" s="14" t="s">
        <v>20</v>
      </c>
      <c r="E86" s="14"/>
      <c r="F86" s="13" t="s">
        <v>136</v>
      </c>
      <c r="G86" s="13">
        <v>3</v>
      </c>
      <c r="H86" s="14" t="s">
        <v>137</v>
      </c>
      <c r="I86" s="14" t="s">
        <v>138</v>
      </c>
      <c r="J86" s="4">
        <v>2025</v>
      </c>
      <c r="K86" s="13" t="s">
        <v>24</v>
      </c>
      <c r="L86" s="15">
        <v>45832</v>
      </c>
      <c r="M86" s="15" t="s">
        <v>274</v>
      </c>
      <c r="N86" s="15"/>
      <c r="O86" s="16">
        <v>3</v>
      </c>
      <c r="P86" s="16"/>
      <c r="Q86" s="17">
        <v>12095.16</v>
      </c>
      <c r="R86" s="18">
        <v>8494.2000000000007</v>
      </c>
    </row>
    <row r="87" spans="1:18" ht="57" x14ac:dyDescent="0.25">
      <c r="A87" s="13" t="s">
        <v>275</v>
      </c>
      <c r="B87" s="14" t="s">
        <v>276</v>
      </c>
      <c r="C87" s="14"/>
      <c r="D87" s="14" t="s">
        <v>20</v>
      </c>
      <c r="E87" s="14"/>
      <c r="F87" s="13" t="s">
        <v>136</v>
      </c>
      <c r="G87" s="13">
        <v>6</v>
      </c>
      <c r="H87" s="14" t="s">
        <v>137</v>
      </c>
      <c r="I87" s="14" t="s">
        <v>138</v>
      </c>
      <c r="J87" s="4">
        <v>2025</v>
      </c>
      <c r="K87" s="13" t="s">
        <v>24</v>
      </c>
      <c r="L87" s="15">
        <v>45838</v>
      </c>
      <c r="M87" s="15" t="s">
        <v>236</v>
      </c>
      <c r="N87" s="15"/>
      <c r="O87" s="16">
        <v>3</v>
      </c>
      <c r="P87" s="16"/>
      <c r="Q87" s="17">
        <v>19736.150000000001</v>
      </c>
      <c r="R87" s="18">
        <v>15157.19</v>
      </c>
    </row>
    <row r="88" spans="1:18" ht="71.25" x14ac:dyDescent="0.25">
      <c r="A88" s="13" t="s">
        <v>277</v>
      </c>
      <c r="B88" s="14" t="s">
        <v>278</v>
      </c>
      <c r="C88" s="14"/>
      <c r="D88" s="14" t="s">
        <v>20</v>
      </c>
      <c r="E88" s="14"/>
      <c r="F88" s="13" t="s">
        <v>76</v>
      </c>
      <c r="G88" s="13">
        <v>3</v>
      </c>
      <c r="H88" s="14" t="s">
        <v>137</v>
      </c>
      <c r="I88" s="14" t="s">
        <v>138</v>
      </c>
      <c r="J88" s="4">
        <v>2025</v>
      </c>
      <c r="K88" s="13" t="s">
        <v>24</v>
      </c>
      <c r="L88" s="15">
        <v>45873</v>
      </c>
      <c r="M88" s="15" t="s">
        <v>279</v>
      </c>
      <c r="N88" s="15"/>
      <c r="O88" s="16">
        <v>3</v>
      </c>
      <c r="P88" s="16"/>
      <c r="Q88" s="17">
        <v>4961</v>
      </c>
      <c r="R88" s="18">
        <v>3529.99</v>
      </c>
    </row>
    <row r="89" spans="1:18" ht="57" x14ac:dyDescent="0.25">
      <c r="A89" s="13" t="s">
        <v>280</v>
      </c>
      <c r="B89" s="14" t="s">
        <v>281</v>
      </c>
      <c r="C89" s="14"/>
      <c r="D89" s="14" t="s">
        <v>20</v>
      </c>
      <c r="E89" s="14"/>
      <c r="F89" s="13" t="s">
        <v>136</v>
      </c>
      <c r="G89" s="13">
        <v>3</v>
      </c>
      <c r="H89" s="14" t="s">
        <v>137</v>
      </c>
      <c r="I89" s="14" t="s">
        <v>138</v>
      </c>
      <c r="J89" s="4">
        <v>2025</v>
      </c>
      <c r="K89" s="13" t="s">
        <v>24</v>
      </c>
      <c r="L89" s="15">
        <v>45875</v>
      </c>
      <c r="M89" s="15" t="s">
        <v>282</v>
      </c>
      <c r="N89" s="15"/>
      <c r="O89" s="16">
        <v>3</v>
      </c>
      <c r="P89" s="16"/>
      <c r="Q89" s="17">
        <v>3599.75</v>
      </c>
      <c r="R89" s="18">
        <v>2758.8</v>
      </c>
    </row>
    <row r="90" spans="1:18" ht="42.75" x14ac:dyDescent="0.25">
      <c r="A90" s="13" t="s">
        <v>283</v>
      </c>
      <c r="B90" s="14" t="s">
        <v>284</v>
      </c>
      <c r="C90" s="14"/>
      <c r="D90" s="14" t="s">
        <v>20</v>
      </c>
      <c r="E90" s="14"/>
      <c r="F90" s="13" t="s">
        <v>76</v>
      </c>
      <c r="G90" s="13">
        <v>3</v>
      </c>
      <c r="H90" s="14" t="s">
        <v>137</v>
      </c>
      <c r="I90" s="14" t="s">
        <v>138</v>
      </c>
      <c r="J90" s="4">
        <v>2025</v>
      </c>
      <c r="K90" s="13" t="s">
        <v>24</v>
      </c>
      <c r="L90" s="15">
        <v>45896</v>
      </c>
      <c r="M90" s="15" t="s">
        <v>285</v>
      </c>
      <c r="N90" s="15"/>
      <c r="O90" s="16">
        <v>4</v>
      </c>
      <c r="P90" s="16"/>
      <c r="Q90" s="17">
        <v>5915.82</v>
      </c>
      <c r="R90" s="18">
        <v>4732.66</v>
      </c>
    </row>
    <row r="91" spans="1:18" ht="57" x14ac:dyDescent="0.25">
      <c r="A91" s="13" t="s">
        <v>286</v>
      </c>
      <c r="B91" s="14" t="s">
        <v>287</v>
      </c>
      <c r="C91" s="14"/>
      <c r="D91" s="14" t="s">
        <v>20</v>
      </c>
      <c r="E91" s="14"/>
      <c r="F91" s="13" t="s">
        <v>76</v>
      </c>
      <c r="G91" s="13">
        <v>4</v>
      </c>
      <c r="H91" s="14" t="s">
        <v>137</v>
      </c>
      <c r="I91" s="14" t="s">
        <v>138</v>
      </c>
      <c r="J91" s="4">
        <v>2025</v>
      </c>
      <c r="K91" s="13" t="s">
        <v>24</v>
      </c>
      <c r="L91" s="15">
        <v>45916</v>
      </c>
      <c r="M91" s="15" t="s">
        <v>288</v>
      </c>
      <c r="N91" s="15"/>
      <c r="O91" s="16">
        <v>3</v>
      </c>
      <c r="P91" s="16"/>
      <c r="Q91" s="17">
        <v>15911.5</v>
      </c>
      <c r="R91" s="18">
        <v>12567.67</v>
      </c>
    </row>
    <row r="92" spans="1:18" ht="71.25" x14ac:dyDescent="0.25">
      <c r="A92" s="13" t="s">
        <v>289</v>
      </c>
      <c r="B92" s="14" t="s">
        <v>290</v>
      </c>
      <c r="C92" s="14"/>
      <c r="D92" s="14" t="s">
        <v>20</v>
      </c>
      <c r="E92" s="14"/>
      <c r="F92" s="13" t="s">
        <v>136</v>
      </c>
      <c r="G92" s="13">
        <v>6</v>
      </c>
      <c r="H92" s="14" t="s">
        <v>137</v>
      </c>
      <c r="I92" s="14" t="s">
        <v>138</v>
      </c>
      <c r="J92" s="4">
        <v>2025</v>
      </c>
      <c r="K92" s="13" t="s">
        <v>24</v>
      </c>
      <c r="L92" s="15">
        <v>45889</v>
      </c>
      <c r="M92" s="15" t="s">
        <v>291</v>
      </c>
      <c r="N92" s="15"/>
      <c r="O92" s="16">
        <v>3</v>
      </c>
      <c r="P92" s="16"/>
      <c r="Q92" s="17">
        <v>9503.34</v>
      </c>
      <c r="R92" s="18">
        <v>6028.46</v>
      </c>
    </row>
    <row r="93" spans="1:18" ht="42.75" x14ac:dyDescent="0.25">
      <c r="A93" s="13" t="s">
        <v>292</v>
      </c>
      <c r="B93" s="14" t="s">
        <v>293</v>
      </c>
      <c r="C93" s="14"/>
      <c r="D93" s="14" t="s">
        <v>20</v>
      </c>
      <c r="E93" s="14"/>
      <c r="F93" s="13" t="s">
        <v>136</v>
      </c>
      <c r="G93" s="13">
        <v>3</v>
      </c>
      <c r="H93" s="14" t="s">
        <v>137</v>
      </c>
      <c r="I93" s="14" t="s">
        <v>138</v>
      </c>
      <c r="J93" s="4">
        <v>2025</v>
      </c>
      <c r="K93" s="13" t="s">
        <v>24</v>
      </c>
      <c r="L93" s="15">
        <v>45880</v>
      </c>
      <c r="M93" s="15" t="s">
        <v>294</v>
      </c>
      <c r="N93" s="15"/>
      <c r="O93" s="16">
        <v>4</v>
      </c>
      <c r="P93" s="16"/>
      <c r="Q93" s="17">
        <v>8351.42</v>
      </c>
      <c r="R93" s="18">
        <v>6342.71</v>
      </c>
    </row>
    <row r="94" spans="1:18" ht="85.5" x14ac:dyDescent="0.25">
      <c r="A94" s="13" t="s">
        <v>295</v>
      </c>
      <c r="B94" s="14" t="s">
        <v>296</v>
      </c>
      <c r="C94" s="14"/>
      <c r="D94" s="14" t="s">
        <v>20</v>
      </c>
      <c r="E94" s="14"/>
      <c r="F94" s="13" t="s">
        <v>21</v>
      </c>
      <c r="G94" s="13">
        <v>12</v>
      </c>
      <c r="H94" s="14" t="s">
        <v>137</v>
      </c>
      <c r="I94" s="14" t="s">
        <v>138</v>
      </c>
      <c r="J94" s="4">
        <v>2025</v>
      </c>
      <c r="K94" s="13" t="s">
        <v>24</v>
      </c>
      <c r="L94" s="15">
        <v>45939</v>
      </c>
      <c r="M94" s="15" t="s">
        <v>297</v>
      </c>
      <c r="N94" s="15"/>
      <c r="O94" s="16">
        <v>17</v>
      </c>
      <c r="P94" s="16"/>
      <c r="Q94" s="17">
        <f>1811.37+16302.33</f>
        <v>18113.7</v>
      </c>
      <c r="R94" s="18">
        <f>1678.51+15106.61</f>
        <v>16785.12</v>
      </c>
    </row>
    <row r="95" spans="1:18" ht="42.75" x14ac:dyDescent="0.25">
      <c r="A95" s="13" t="s">
        <v>298</v>
      </c>
      <c r="B95" s="14" t="s">
        <v>299</v>
      </c>
      <c r="C95" s="14"/>
      <c r="D95" s="14" t="s">
        <v>20</v>
      </c>
      <c r="E95" s="14"/>
      <c r="F95" s="13" t="s">
        <v>136</v>
      </c>
      <c r="G95" s="13">
        <v>3</v>
      </c>
      <c r="H95" s="14" t="s">
        <v>137</v>
      </c>
      <c r="I95" s="14" t="s">
        <v>138</v>
      </c>
      <c r="J95" s="4">
        <v>2025</v>
      </c>
      <c r="K95" s="13" t="s">
        <v>24</v>
      </c>
      <c r="L95" s="15">
        <v>45923</v>
      </c>
      <c r="M95" s="15" t="s">
        <v>300</v>
      </c>
      <c r="N95" s="15"/>
      <c r="O95" s="16">
        <v>2</v>
      </c>
      <c r="P95" s="16"/>
      <c r="Q95" s="17">
        <v>41860.93</v>
      </c>
      <c r="R95" s="18">
        <v>15742.1</v>
      </c>
    </row>
    <row r="96" spans="1:18" ht="57" x14ac:dyDescent="0.25">
      <c r="A96" s="13" t="s">
        <v>301</v>
      </c>
      <c r="B96" s="14" t="s">
        <v>302</v>
      </c>
      <c r="C96" s="14"/>
      <c r="D96" s="14" t="s">
        <v>20</v>
      </c>
      <c r="E96" s="14"/>
      <c r="F96" s="13" t="s">
        <v>21</v>
      </c>
      <c r="G96" s="13">
        <v>7</v>
      </c>
      <c r="H96" s="14" t="s">
        <v>137</v>
      </c>
      <c r="I96" s="14" t="s">
        <v>138</v>
      </c>
      <c r="J96" s="4">
        <v>2025</v>
      </c>
      <c r="K96" s="13" t="s">
        <v>24</v>
      </c>
      <c r="L96" s="15">
        <v>45918</v>
      </c>
      <c r="M96" s="15" t="s">
        <v>253</v>
      </c>
      <c r="N96" s="15"/>
      <c r="O96" s="16">
        <v>1</v>
      </c>
      <c r="P96" s="16"/>
      <c r="Q96" s="17">
        <f>15555.06+2592.52</f>
        <v>18147.579999999998</v>
      </c>
      <c r="R96" s="18">
        <f>2558.25+15349.4</f>
        <v>17907.650000000001</v>
      </c>
    </row>
    <row r="97" spans="1:18" ht="57" x14ac:dyDescent="0.25">
      <c r="A97" s="13" t="s">
        <v>303</v>
      </c>
      <c r="B97" s="14" t="s">
        <v>304</v>
      </c>
      <c r="C97" s="14"/>
      <c r="D97" s="14" t="s">
        <v>20</v>
      </c>
      <c r="E97" s="14"/>
      <c r="F97" s="13" t="s">
        <v>21</v>
      </c>
      <c r="G97" s="13">
        <v>7</v>
      </c>
      <c r="H97" s="14" t="s">
        <v>137</v>
      </c>
      <c r="I97" s="14" t="s">
        <v>138</v>
      </c>
      <c r="J97" s="4">
        <v>2025</v>
      </c>
      <c r="K97" s="13" t="s">
        <v>24</v>
      </c>
      <c r="L97" s="15">
        <v>45917</v>
      </c>
      <c r="M97" s="15" t="s">
        <v>305</v>
      </c>
      <c r="N97" s="15"/>
      <c r="O97" s="16">
        <v>1</v>
      </c>
      <c r="P97" s="16"/>
      <c r="Q97" s="17">
        <f>15550.92+2591.82</f>
        <v>18142.740000000002</v>
      </c>
      <c r="R97" s="18">
        <f>1762.1+10572.64</f>
        <v>12334.74</v>
      </c>
    </row>
    <row r="98" spans="1:18" ht="42.75" x14ac:dyDescent="0.25">
      <c r="A98" s="13" t="s">
        <v>306</v>
      </c>
      <c r="B98" s="14" t="s">
        <v>307</v>
      </c>
      <c r="C98" s="14"/>
      <c r="D98" s="14" t="s">
        <v>20</v>
      </c>
      <c r="E98" s="14"/>
      <c r="F98" s="13" t="s">
        <v>76</v>
      </c>
      <c r="G98" s="13">
        <v>3</v>
      </c>
      <c r="H98" s="14" t="s">
        <v>137</v>
      </c>
      <c r="I98" s="14" t="s">
        <v>138</v>
      </c>
      <c r="J98" s="4">
        <v>2025</v>
      </c>
      <c r="K98" s="13" t="s">
        <v>24</v>
      </c>
      <c r="L98" s="15">
        <v>45944</v>
      </c>
      <c r="M98" s="15" t="s">
        <v>308</v>
      </c>
      <c r="N98" s="15"/>
      <c r="O98" s="16">
        <v>3</v>
      </c>
      <c r="P98" s="16"/>
      <c r="Q98" s="17">
        <v>6292</v>
      </c>
      <c r="R98" s="18">
        <v>4764.9799999999996</v>
      </c>
    </row>
    <row r="99" spans="1:18" ht="42.75" x14ac:dyDescent="0.25">
      <c r="A99" s="13" t="s">
        <v>309</v>
      </c>
      <c r="B99" s="14" t="s">
        <v>310</v>
      </c>
      <c r="C99" s="14"/>
      <c r="D99" s="14" t="s">
        <v>20</v>
      </c>
      <c r="E99" s="14"/>
      <c r="F99" s="13" t="s">
        <v>136</v>
      </c>
      <c r="G99" s="13">
        <v>6</v>
      </c>
      <c r="H99" s="14" t="s">
        <v>137</v>
      </c>
      <c r="I99" s="14" t="s">
        <v>138</v>
      </c>
      <c r="J99" s="4">
        <v>2025</v>
      </c>
      <c r="K99" s="13" t="s">
        <v>24</v>
      </c>
      <c r="L99" s="15">
        <v>45959</v>
      </c>
      <c r="M99" s="15" t="s">
        <v>311</v>
      </c>
      <c r="N99" s="15"/>
      <c r="O99" s="16">
        <v>3</v>
      </c>
      <c r="P99" s="16"/>
      <c r="Q99" s="17">
        <v>16558.849999999999</v>
      </c>
      <c r="R99" s="18">
        <v>12037.15</v>
      </c>
    </row>
    <row r="100" spans="1:18" ht="57" x14ac:dyDescent="0.25">
      <c r="A100" s="13" t="s">
        <v>312</v>
      </c>
      <c r="B100" s="14" t="s">
        <v>313</v>
      </c>
      <c r="C100" s="14"/>
      <c r="D100" s="14" t="s">
        <v>20</v>
      </c>
      <c r="E100" s="14"/>
      <c r="F100" s="13" t="s">
        <v>76</v>
      </c>
      <c r="G100" s="13">
        <v>3</v>
      </c>
      <c r="H100" s="14" t="s">
        <v>137</v>
      </c>
      <c r="I100" s="14" t="s">
        <v>138</v>
      </c>
      <c r="J100" s="4">
        <v>2025</v>
      </c>
      <c r="K100" s="13" t="s">
        <v>24</v>
      </c>
      <c r="L100" s="15">
        <v>45978</v>
      </c>
      <c r="M100" s="15" t="s">
        <v>314</v>
      </c>
      <c r="N100" s="15"/>
      <c r="O100" s="16">
        <v>3</v>
      </c>
      <c r="P100" s="16"/>
      <c r="Q100" s="17">
        <v>943.8</v>
      </c>
      <c r="R100" s="18">
        <v>925.65</v>
      </c>
    </row>
    <row r="101" spans="1:18" ht="57" x14ac:dyDescent="0.25">
      <c r="A101" s="13" t="s">
        <v>315</v>
      </c>
      <c r="B101" s="14" t="s">
        <v>316</v>
      </c>
      <c r="C101" s="14"/>
      <c r="D101" s="14" t="s">
        <v>20</v>
      </c>
      <c r="E101" s="14"/>
      <c r="F101" s="13" t="s">
        <v>21</v>
      </c>
      <c r="G101" s="13">
        <v>12</v>
      </c>
      <c r="H101" s="14" t="s">
        <v>137</v>
      </c>
      <c r="I101" s="14" t="s">
        <v>138</v>
      </c>
      <c r="J101" s="4">
        <v>2025</v>
      </c>
      <c r="K101" s="13" t="s">
        <v>24</v>
      </c>
      <c r="L101" s="15">
        <v>45993</v>
      </c>
      <c r="M101" s="15" t="s">
        <v>262</v>
      </c>
      <c r="N101" s="15"/>
      <c r="O101" s="16">
        <v>5</v>
      </c>
      <c r="P101" s="16"/>
      <c r="Q101" s="17">
        <v>18148.79</v>
      </c>
      <c r="R101" s="18">
        <v>8107</v>
      </c>
    </row>
    <row r="102" spans="1:18" ht="85.5" x14ac:dyDescent="0.25">
      <c r="A102" s="13" t="s">
        <v>317</v>
      </c>
      <c r="B102" s="14" t="s">
        <v>318</v>
      </c>
      <c r="C102" s="14"/>
      <c r="D102" s="14" t="s">
        <v>20</v>
      </c>
      <c r="E102" s="14"/>
      <c r="F102" s="13" t="s">
        <v>136</v>
      </c>
      <c r="G102" s="13">
        <v>8</v>
      </c>
      <c r="H102" s="14" t="s">
        <v>137</v>
      </c>
      <c r="I102" s="14" t="s">
        <v>138</v>
      </c>
      <c r="J102" s="4">
        <v>2025</v>
      </c>
      <c r="K102" s="13" t="s">
        <v>24</v>
      </c>
      <c r="L102" s="15">
        <v>46013</v>
      </c>
      <c r="M102" s="15" t="s">
        <v>319</v>
      </c>
      <c r="N102" s="15"/>
      <c r="O102" s="16">
        <v>4</v>
      </c>
      <c r="P102" s="16"/>
      <c r="Q102" s="17">
        <v>48236.65</v>
      </c>
      <c r="R102" s="17">
        <v>43136.4</v>
      </c>
    </row>
    <row r="103" spans="1:18" ht="83.1" customHeight="1" x14ac:dyDescent="0.25">
      <c r="A103" s="14" t="s">
        <v>320</v>
      </c>
      <c r="B103" s="14" t="s">
        <v>321</v>
      </c>
      <c r="C103" s="14"/>
      <c r="D103" s="14" t="s">
        <v>20</v>
      </c>
      <c r="E103" s="14"/>
      <c r="F103" s="13" t="s">
        <v>76</v>
      </c>
      <c r="G103" s="13">
        <v>1</v>
      </c>
      <c r="H103" s="14" t="s">
        <v>322</v>
      </c>
      <c r="I103" s="14" t="s">
        <v>323</v>
      </c>
      <c r="J103" s="4">
        <v>2025</v>
      </c>
      <c r="K103" s="13" t="s">
        <v>24</v>
      </c>
      <c r="L103" s="15">
        <v>45727</v>
      </c>
      <c r="M103" s="15" t="s">
        <v>324</v>
      </c>
      <c r="N103" s="15"/>
      <c r="O103" s="16">
        <v>6</v>
      </c>
      <c r="P103" s="16"/>
      <c r="Q103" s="17">
        <v>1876.42</v>
      </c>
      <c r="R103" s="18">
        <v>1300.73</v>
      </c>
    </row>
    <row r="104" spans="1:18" ht="57" x14ac:dyDescent="0.25">
      <c r="A104" s="14" t="s">
        <v>325</v>
      </c>
      <c r="B104" s="14" t="s">
        <v>326</v>
      </c>
      <c r="C104" s="14"/>
      <c r="D104" s="14" t="s">
        <v>20</v>
      </c>
      <c r="E104" s="14"/>
      <c r="F104" s="13" t="s">
        <v>21</v>
      </c>
      <c r="G104" s="13">
        <v>24</v>
      </c>
      <c r="H104" s="14" t="s">
        <v>327</v>
      </c>
      <c r="I104" s="14" t="s">
        <v>323</v>
      </c>
      <c r="J104" s="4">
        <v>2025</v>
      </c>
      <c r="K104" s="13" t="s">
        <v>24</v>
      </c>
      <c r="L104" s="15">
        <v>45734</v>
      </c>
      <c r="M104" s="15" t="s">
        <v>328</v>
      </c>
      <c r="N104" s="15"/>
      <c r="O104" s="16">
        <v>1</v>
      </c>
      <c r="P104" s="16"/>
      <c r="Q104" s="17">
        <f>149283.75+21326.25</f>
        <v>170610</v>
      </c>
      <c r="R104" s="17">
        <f>149283.75+21326.25</f>
        <v>170610</v>
      </c>
    </row>
    <row r="105" spans="1:18" ht="42.75" x14ac:dyDescent="0.25">
      <c r="A105" s="14" t="s">
        <v>329</v>
      </c>
      <c r="B105" s="14" t="s">
        <v>330</v>
      </c>
      <c r="C105" s="14"/>
      <c r="D105" s="14" t="s">
        <v>20</v>
      </c>
      <c r="E105" s="14"/>
      <c r="F105" s="13" t="s">
        <v>76</v>
      </c>
      <c r="G105" s="13">
        <v>1.5</v>
      </c>
      <c r="H105" s="14" t="s">
        <v>322</v>
      </c>
      <c r="I105" s="14" t="s">
        <v>323</v>
      </c>
      <c r="J105" s="4">
        <v>2025</v>
      </c>
      <c r="K105" s="13" t="s">
        <v>24</v>
      </c>
      <c r="L105" s="15">
        <v>45742</v>
      </c>
      <c r="M105" s="15" t="s">
        <v>331</v>
      </c>
      <c r="N105" s="15"/>
      <c r="O105" s="16">
        <v>0</v>
      </c>
      <c r="P105" s="16"/>
      <c r="Q105" s="17">
        <v>72599.929999999993</v>
      </c>
      <c r="R105" s="18">
        <v>69505.429999999993</v>
      </c>
    </row>
    <row r="106" spans="1:18" ht="42.75" x14ac:dyDescent="0.25">
      <c r="A106" s="14" t="s">
        <v>332</v>
      </c>
      <c r="B106" s="14" t="s">
        <v>333</v>
      </c>
      <c r="C106" s="14"/>
      <c r="D106" s="14" t="s">
        <v>20</v>
      </c>
      <c r="E106" s="14"/>
      <c r="F106" s="13" t="s">
        <v>76</v>
      </c>
      <c r="G106" s="13">
        <v>12</v>
      </c>
      <c r="H106" s="14" t="s">
        <v>327</v>
      </c>
      <c r="I106" s="14" t="s">
        <v>323</v>
      </c>
      <c r="J106" s="4">
        <v>2025</v>
      </c>
      <c r="K106" s="13" t="s">
        <v>24</v>
      </c>
      <c r="L106" s="15">
        <v>45749</v>
      </c>
      <c r="M106" s="15" t="s">
        <v>334</v>
      </c>
      <c r="N106" s="15"/>
      <c r="O106" s="16">
        <v>1</v>
      </c>
      <c r="P106" s="16"/>
      <c r="Q106" s="17">
        <f>122175.44+1849.56</f>
        <v>124025</v>
      </c>
      <c r="R106" s="17">
        <f>120640.63+1149.5</f>
        <v>121790.13</v>
      </c>
    </row>
    <row r="107" spans="1:18" ht="42.75" x14ac:dyDescent="0.25">
      <c r="A107" s="14" t="s">
        <v>335</v>
      </c>
      <c r="B107" s="14" t="s">
        <v>336</v>
      </c>
      <c r="C107" s="14"/>
      <c r="D107" s="14" t="s">
        <v>20</v>
      </c>
      <c r="E107" s="14"/>
      <c r="F107" s="13" t="s">
        <v>76</v>
      </c>
      <c r="G107" s="13">
        <v>36</v>
      </c>
      <c r="H107" s="14" t="s">
        <v>327</v>
      </c>
      <c r="I107" s="14" t="s">
        <v>323</v>
      </c>
      <c r="J107" s="4">
        <v>2025</v>
      </c>
      <c r="K107" s="13" t="s">
        <v>24</v>
      </c>
      <c r="L107" s="15">
        <v>45824</v>
      </c>
      <c r="M107" s="15" t="s">
        <v>337</v>
      </c>
      <c r="N107" s="15"/>
      <c r="O107" s="16">
        <v>2</v>
      </c>
      <c r="P107" s="16"/>
      <c r="Q107" s="17">
        <f>169400+556600</f>
        <v>726000</v>
      </c>
      <c r="R107" s="18">
        <f>132132+434148</f>
        <v>566280</v>
      </c>
    </row>
    <row r="108" spans="1:18" ht="51" customHeight="1" x14ac:dyDescent="0.25">
      <c r="A108" s="14" t="s">
        <v>338</v>
      </c>
      <c r="B108" s="21" t="s">
        <v>339</v>
      </c>
      <c r="C108" s="14"/>
      <c r="D108" s="14" t="s">
        <v>20</v>
      </c>
      <c r="E108" s="14"/>
      <c r="F108" s="13" t="s">
        <v>76</v>
      </c>
      <c r="G108" s="22">
        <v>1</v>
      </c>
      <c r="H108" s="14" t="s">
        <v>322</v>
      </c>
      <c r="I108" s="14" t="s">
        <v>323</v>
      </c>
      <c r="J108" s="4">
        <v>2025</v>
      </c>
      <c r="K108" s="13" t="s">
        <v>24</v>
      </c>
      <c r="L108" s="23">
        <v>45847</v>
      </c>
      <c r="M108" s="23" t="s">
        <v>340</v>
      </c>
      <c r="N108" s="23"/>
      <c r="O108" s="24">
        <v>6</v>
      </c>
      <c r="P108" s="24"/>
      <c r="Q108" s="25">
        <v>379.84</v>
      </c>
      <c r="R108" s="26">
        <v>277.04000000000002</v>
      </c>
    </row>
    <row r="109" spans="1:18" ht="57" x14ac:dyDescent="0.25">
      <c r="A109" s="14" t="s">
        <v>341</v>
      </c>
      <c r="B109" s="21" t="s">
        <v>342</v>
      </c>
      <c r="C109" s="14"/>
      <c r="D109" s="14" t="s">
        <v>20</v>
      </c>
      <c r="E109" s="14"/>
      <c r="F109" s="13" t="s">
        <v>76</v>
      </c>
      <c r="G109" s="22">
        <v>2</v>
      </c>
      <c r="H109" s="14" t="s">
        <v>327</v>
      </c>
      <c r="I109" s="14" t="s">
        <v>323</v>
      </c>
      <c r="J109" s="4">
        <v>2025</v>
      </c>
      <c r="K109" s="13" t="s">
        <v>24</v>
      </c>
      <c r="L109" s="23">
        <v>45862</v>
      </c>
      <c r="M109" s="23" t="s">
        <v>343</v>
      </c>
      <c r="N109" s="23"/>
      <c r="O109" s="24">
        <v>2</v>
      </c>
      <c r="P109" s="24"/>
      <c r="Q109" s="25">
        <v>87878.22</v>
      </c>
      <c r="R109" s="17">
        <v>82145.69</v>
      </c>
    </row>
    <row r="110" spans="1:18" ht="53.45" customHeight="1" x14ac:dyDescent="0.25">
      <c r="A110" s="14" t="s">
        <v>344</v>
      </c>
      <c r="B110" s="14" t="s">
        <v>345</v>
      </c>
      <c r="C110" s="14"/>
      <c r="D110" s="14" t="s">
        <v>20</v>
      </c>
      <c r="E110" s="14"/>
      <c r="F110" s="13" t="s">
        <v>76</v>
      </c>
      <c r="G110" s="13">
        <v>2</v>
      </c>
      <c r="H110" s="14" t="s">
        <v>322</v>
      </c>
      <c r="I110" s="14" t="s">
        <v>323</v>
      </c>
      <c r="J110" s="4">
        <v>2025</v>
      </c>
      <c r="K110" s="13" t="s">
        <v>24</v>
      </c>
      <c r="L110" s="15">
        <v>45889</v>
      </c>
      <c r="M110" s="15" t="s">
        <v>346</v>
      </c>
      <c r="N110" s="15"/>
      <c r="O110" s="16">
        <v>9</v>
      </c>
      <c r="P110" s="16"/>
      <c r="Q110" s="17">
        <v>90672.56</v>
      </c>
      <c r="R110" s="18">
        <v>69671.649999999994</v>
      </c>
    </row>
    <row r="111" spans="1:18" ht="57" x14ac:dyDescent="0.25">
      <c r="A111" s="14" t="s">
        <v>347</v>
      </c>
      <c r="B111" s="14" t="s">
        <v>348</v>
      </c>
      <c r="C111" s="14"/>
      <c r="D111" s="14" t="s">
        <v>20</v>
      </c>
      <c r="E111" s="14"/>
      <c r="F111" s="13" t="s">
        <v>76</v>
      </c>
      <c r="G111" s="13">
        <v>12</v>
      </c>
      <c r="H111" s="14" t="s">
        <v>322</v>
      </c>
      <c r="I111" s="14" t="s">
        <v>323</v>
      </c>
      <c r="J111" s="4">
        <v>2025</v>
      </c>
      <c r="K111" s="13" t="s">
        <v>24</v>
      </c>
      <c r="L111" s="15">
        <v>45919</v>
      </c>
      <c r="M111" s="15" t="s">
        <v>349</v>
      </c>
      <c r="N111" s="15"/>
      <c r="O111" s="16">
        <v>8</v>
      </c>
      <c r="P111" s="16"/>
      <c r="Q111" s="17">
        <f>7159.17+35795.83+348903.5</f>
        <v>391858.5</v>
      </c>
      <c r="R111" s="17">
        <f>212417.11+4025.27+20126.33</f>
        <v>236568.70999999996</v>
      </c>
    </row>
    <row r="112" spans="1:18" ht="42.75" x14ac:dyDescent="0.25">
      <c r="A112" s="14" t="s">
        <v>350</v>
      </c>
      <c r="B112" s="14" t="s">
        <v>351</v>
      </c>
      <c r="C112" s="14"/>
      <c r="D112" s="14" t="s">
        <v>20</v>
      </c>
      <c r="E112" s="14"/>
      <c r="F112" s="13" t="s">
        <v>76</v>
      </c>
      <c r="G112" s="13">
        <v>2</v>
      </c>
      <c r="H112" s="14" t="s">
        <v>327</v>
      </c>
      <c r="I112" s="14" t="s">
        <v>323</v>
      </c>
      <c r="J112" s="4">
        <v>2025</v>
      </c>
      <c r="K112" s="13" t="s">
        <v>24</v>
      </c>
      <c r="L112" s="15">
        <v>45967</v>
      </c>
      <c r="M112" s="15" t="s">
        <v>352</v>
      </c>
      <c r="N112" s="15"/>
      <c r="O112" s="16">
        <v>1</v>
      </c>
      <c r="P112" s="16"/>
      <c r="Q112" s="17">
        <v>41140</v>
      </c>
      <c r="R112" s="18">
        <v>33671.879999999997</v>
      </c>
    </row>
    <row r="113" spans="1:18" ht="57.6" customHeight="1" x14ac:dyDescent="0.25">
      <c r="A113" s="14" t="s">
        <v>353</v>
      </c>
      <c r="B113" s="14" t="s">
        <v>354</v>
      </c>
      <c r="C113" s="14"/>
      <c r="D113" s="14" t="s">
        <v>20</v>
      </c>
      <c r="E113" s="14"/>
      <c r="F113" s="13" t="s">
        <v>76</v>
      </c>
      <c r="G113" s="13">
        <v>12</v>
      </c>
      <c r="H113" s="14" t="s">
        <v>322</v>
      </c>
      <c r="I113" s="14" t="s">
        <v>323</v>
      </c>
      <c r="J113" s="4">
        <v>2025</v>
      </c>
      <c r="K113" s="13" t="s">
        <v>24</v>
      </c>
      <c r="L113" s="15">
        <v>45981</v>
      </c>
      <c r="M113" s="15" t="s">
        <v>355</v>
      </c>
      <c r="N113" s="15"/>
      <c r="O113" s="16">
        <v>3</v>
      </c>
      <c r="P113" s="16"/>
      <c r="Q113" s="17">
        <v>34716.31</v>
      </c>
      <c r="R113" s="18">
        <v>29028.69</v>
      </c>
    </row>
    <row r="114" spans="1:18" ht="47.1" customHeight="1" x14ac:dyDescent="0.25">
      <c r="A114" s="14" t="s">
        <v>356</v>
      </c>
      <c r="B114" s="14" t="s">
        <v>357</v>
      </c>
      <c r="C114" s="14"/>
      <c r="D114" s="14" t="s">
        <v>20</v>
      </c>
      <c r="E114" s="14"/>
      <c r="F114" s="13" t="s">
        <v>76</v>
      </c>
      <c r="G114" s="13">
        <v>12</v>
      </c>
      <c r="H114" s="14" t="s">
        <v>322</v>
      </c>
      <c r="I114" s="14" t="s">
        <v>323</v>
      </c>
      <c r="J114" s="4">
        <v>2025</v>
      </c>
      <c r="K114" s="13" t="s">
        <v>24</v>
      </c>
      <c r="L114" s="15">
        <v>45982</v>
      </c>
      <c r="M114" s="15" t="s">
        <v>358</v>
      </c>
      <c r="N114" s="15"/>
      <c r="O114" s="16">
        <v>3</v>
      </c>
      <c r="P114" s="16"/>
      <c r="Q114" s="17">
        <v>6149.53</v>
      </c>
      <c r="R114" s="18">
        <v>5209.87</v>
      </c>
    </row>
    <row r="115" spans="1:18" ht="88.5" customHeight="1" x14ac:dyDescent="0.25">
      <c r="A115" s="14" t="s">
        <v>359</v>
      </c>
      <c r="B115" s="14" t="s">
        <v>360</v>
      </c>
      <c r="C115" s="14"/>
      <c r="D115" s="14" t="s">
        <v>20</v>
      </c>
      <c r="E115" s="14"/>
      <c r="F115" s="13" t="s">
        <v>76</v>
      </c>
      <c r="G115" s="13">
        <v>12</v>
      </c>
      <c r="H115" s="14" t="s">
        <v>322</v>
      </c>
      <c r="I115" s="14" t="s">
        <v>323</v>
      </c>
      <c r="J115" s="4">
        <v>2025</v>
      </c>
      <c r="K115" s="13" t="s">
        <v>24</v>
      </c>
      <c r="L115" s="15">
        <v>46000</v>
      </c>
      <c r="M115" s="15" t="s">
        <v>361</v>
      </c>
      <c r="N115" s="15"/>
      <c r="O115" s="16">
        <v>4</v>
      </c>
      <c r="P115" s="16"/>
      <c r="Q115" s="17">
        <v>1996127.9</v>
      </c>
      <c r="R115" s="18">
        <v>1566525.05</v>
      </c>
    </row>
    <row r="116" spans="1:18" ht="109.5" customHeight="1" x14ac:dyDescent="0.25">
      <c r="A116" s="13" t="s">
        <v>362</v>
      </c>
      <c r="B116" s="14" t="s">
        <v>363</v>
      </c>
      <c r="C116" s="14"/>
      <c r="D116" s="14" t="s">
        <v>20</v>
      </c>
      <c r="E116" s="14"/>
      <c r="F116" s="13" t="s">
        <v>21</v>
      </c>
      <c r="G116" s="13"/>
      <c r="H116" s="14" t="s">
        <v>137</v>
      </c>
      <c r="I116" s="14" t="s">
        <v>138</v>
      </c>
      <c r="J116" s="4">
        <v>2025</v>
      </c>
      <c r="K116" s="13" t="s">
        <v>364</v>
      </c>
      <c r="L116" s="15" t="s">
        <v>103</v>
      </c>
      <c r="M116" s="15" t="s">
        <v>103</v>
      </c>
      <c r="N116" s="15"/>
      <c r="O116" s="16">
        <v>3</v>
      </c>
      <c r="P116" s="16"/>
      <c r="Q116" s="17">
        <v>18148.79</v>
      </c>
      <c r="R116" s="18"/>
    </row>
    <row r="117" spans="1:18" ht="80.45" customHeight="1" x14ac:dyDescent="0.25">
      <c r="A117" s="13" t="s">
        <v>365</v>
      </c>
      <c r="B117" s="14" t="s">
        <v>366</v>
      </c>
      <c r="C117" s="14"/>
      <c r="D117" s="14" t="s">
        <v>20</v>
      </c>
      <c r="E117" s="14"/>
      <c r="F117" s="13" t="s">
        <v>76</v>
      </c>
      <c r="G117" s="13">
        <v>3</v>
      </c>
      <c r="H117" s="14" t="s">
        <v>137</v>
      </c>
      <c r="I117" s="14" t="s">
        <v>138</v>
      </c>
      <c r="J117" s="4">
        <v>2025</v>
      </c>
      <c r="K117" s="13" t="s">
        <v>364</v>
      </c>
      <c r="L117" s="15" t="s">
        <v>103</v>
      </c>
      <c r="M117" s="15" t="s">
        <v>103</v>
      </c>
      <c r="N117" s="15"/>
      <c r="O117" s="16">
        <v>6</v>
      </c>
      <c r="P117" s="16"/>
      <c r="Q117" s="17">
        <v>1996.5</v>
      </c>
      <c r="R117" s="18"/>
    </row>
    <row r="118" spans="1:18" ht="93.6" customHeight="1" x14ac:dyDescent="0.25">
      <c r="A118" s="4" t="s">
        <v>367</v>
      </c>
      <c r="B118" s="3" t="s">
        <v>368</v>
      </c>
      <c r="C118" s="3"/>
      <c r="D118" s="3" t="s">
        <v>20</v>
      </c>
      <c r="E118" s="3"/>
      <c r="F118" s="4" t="s">
        <v>21</v>
      </c>
      <c r="G118" s="4">
        <v>12</v>
      </c>
      <c r="H118" s="14" t="s">
        <v>137</v>
      </c>
      <c r="I118" s="14" t="s">
        <v>138</v>
      </c>
      <c r="J118" s="4">
        <v>2025</v>
      </c>
      <c r="K118" s="4" t="s">
        <v>364</v>
      </c>
      <c r="L118" s="5" t="s">
        <v>103</v>
      </c>
      <c r="M118" s="5" t="s">
        <v>103</v>
      </c>
      <c r="N118" s="5"/>
      <c r="O118" s="6">
        <v>12</v>
      </c>
      <c r="P118" s="6"/>
      <c r="Q118" s="7">
        <v>17968.5</v>
      </c>
      <c r="R118" s="8"/>
    </row>
    <row r="119" spans="1:18" x14ac:dyDescent="0.25">
      <c r="A119" s="20"/>
      <c r="B119" s="27"/>
      <c r="C119" s="27"/>
      <c r="D119" s="27"/>
      <c r="E119" s="27"/>
      <c r="F119" s="20"/>
      <c r="G119" s="20"/>
      <c r="H119" s="27"/>
      <c r="I119" s="27"/>
      <c r="L119" s="28"/>
      <c r="M119" s="28"/>
      <c r="N119" s="28"/>
      <c r="O119" s="29"/>
      <c r="P119" s="29"/>
      <c r="Q119" s="30"/>
      <c r="R119" s="31"/>
    </row>
    <row r="120" spans="1:18" x14ac:dyDescent="0.25">
      <c r="B120" s="32"/>
      <c r="C120" s="32"/>
      <c r="D120" s="32"/>
      <c r="E120" s="32"/>
      <c r="H120" s="32"/>
      <c r="I120" s="32"/>
      <c r="L120" s="33"/>
      <c r="M120" s="33"/>
      <c r="N120" s="33"/>
      <c r="Q120" s="35"/>
      <c r="R120" s="36"/>
    </row>
    <row r="121" spans="1:18" x14ac:dyDescent="0.25">
      <c r="B121" s="32"/>
      <c r="C121" s="32"/>
      <c r="D121" s="32"/>
      <c r="E121" s="32"/>
      <c r="H121" s="32"/>
      <c r="I121" s="32"/>
      <c r="L121" s="33"/>
      <c r="M121" s="33"/>
      <c r="N121" s="33"/>
      <c r="Q121" s="35"/>
      <c r="R121" s="36"/>
    </row>
    <row r="122" spans="1:18" x14ac:dyDescent="0.25">
      <c r="B122" s="32"/>
      <c r="C122" s="32"/>
      <c r="D122" s="32"/>
      <c r="E122" s="32"/>
      <c r="H122" s="32"/>
      <c r="I122" s="32"/>
      <c r="L122" s="33"/>
      <c r="M122" s="33"/>
      <c r="N122" s="33"/>
      <c r="Q122" s="35"/>
      <c r="R122" s="36"/>
    </row>
    <row r="123" spans="1:18" x14ac:dyDescent="0.25">
      <c r="Q123" s="35"/>
    </row>
  </sheetData>
  <phoneticPr fontId="3" type="noConversion"/>
  <dataValidations xWindow="1547" yWindow="635" count="8">
    <dataValidation type="decimal" allowBlank="1" showInputMessage="1" showErrorMessage="1" prompt="Facha de formalización del contrato (o adjudicación de los Acuerdos Marco o SDA)" sqref="Q6 Q99 Q27 Q107 R2:R7 R70:R72 R39:R56 Q55 R66:R68 R74:R101 R9:R18 R59:R64 R103 R105:R107 R20:R37" xr:uid="{3802C1D1-B59D-4B91-8CDB-06467B6FB94C}">
      <formula1>0</formula1>
      <formula2>16000000</formula2>
    </dataValidation>
    <dataValidation type="decimal" operator="greaterThanOrEqual" allowBlank="1" showInputMessage="1" showErrorMessage="1" prompt="Facha de formalización del contrato (o adjudicación de los Acuerdos Marco o SDA)" sqref="Q100:Q106 R8 Q2:Q5 Q115:Q1048576 R102 R73 R69 Q28:Q54 Q56 Q58:Q98 Q108 R111 Q110:Q113 R109 Q7:Q26 R19 R38 R58 R65 R104" xr:uid="{C1BE3E1A-ED85-49E3-B020-A99864F89738}">
      <formula1>0</formula1>
    </dataValidation>
    <dataValidation type="whole" allowBlank="1" showInputMessage="1" showErrorMessage="1" prompt="Facha de formalización del contrato (o adjudicación de los Acuerdos Marco o SDA)" sqref="O99:O100 P100:P113 P115:P1048576 P35:P98" xr:uid="{6940D89E-170A-412A-B1F0-56D112C2D28E}">
      <formula1>1</formula1>
      <formula2>50</formula2>
    </dataValidation>
    <dataValidation allowBlank="1" showInputMessage="1" showErrorMessage="1" prompt="Facha de formalización del contrato (o adjudicación de los Acuerdos Marco o SDA)" sqref="L2:M24" xr:uid="{38E8418F-23B5-425F-921F-4A971D273F48}"/>
    <dataValidation type="decimal" allowBlank="1" showInputMessage="1" showErrorMessage="1" prompt="Tipo de tramitación según su inicio" sqref="G115:G1048576 G56:G113 G2:G54" xr:uid="{1361E7A4-5F30-4046-A373-8F84B7E16666}">
      <formula1>0</formula1>
      <formula2>60</formula2>
    </dataValidation>
    <dataValidation type="whole" allowBlank="1" showInputMessage="1" showErrorMessage="1" sqref="O115:O1048576 O1:O113" xr:uid="{9F05B49F-A85C-475D-A2BC-E87F052D443E}">
      <formula1>0</formula1>
      <formula2>50</formula2>
    </dataValidation>
    <dataValidation allowBlank="1" showInputMessage="1" showErrorMessage="1" prompt="Elegir el ejercicio de inicio previsto" sqref="J2:J122" xr:uid="{2F65004A-3DF2-4AEA-969B-45FAE1469B3B}"/>
    <dataValidation type="whole" allowBlank="1" showInputMessage="1" showErrorMessage="1" prompt="Facha de formalización del contrato (o adjudicación de los Acuerdos Marco o SDA)" sqref="P2:P34" xr:uid="{1B6E3E0C-6100-4C84-A0C5-97FC3CC9EB4A}">
      <formula1>0</formula1>
      <formula2>50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547" yWindow="635" count="9">
        <x14:dataValidation type="list" allowBlank="1" showInputMessage="1" showErrorMessage="1" xr:uid="{8E40941D-1AC1-4BDE-9CEF-B71D5D079681}">
          <x14:formula1>
            <xm:f>#REF!</xm:f>
          </x14:formula1>
          <xm:sqref>E115 E117:E118 E2:E113</xm:sqref>
        </x14:dataValidation>
        <x14:dataValidation type="list" allowBlank="1" showInputMessage="1" showErrorMessage="1" prompt="Facha de formalización del contrato (o adjudicación de los Acuerdos Marco o SDA)" xr:uid="{B95F3081-DB9D-4D4D-A6A8-FAC4C0C4CC1C}">
          <x14:formula1>
            <xm:f>#REF!</xm:f>
          </x14:formula1>
          <xm:sqref>N115:N1048576 N2:N113</xm:sqref>
        </x14:dataValidation>
        <x14:dataValidation type="list" allowBlank="1" showInputMessage="1" showErrorMessage="1" xr:uid="{4A62AAB0-91DF-4DC5-9BEC-5A52DA3E9313}">
          <x14:formula1>
            <xm:f>#REF!</xm:f>
          </x14:formula1>
          <xm:sqref>D115:D1048576 D2:D113</xm:sqref>
        </x14:dataValidation>
        <x14:dataValidation type="list" allowBlank="1" showInputMessage="1" showErrorMessage="1" xr:uid="{463025D4-AA4D-40A1-ADB8-3D519BBF4F64}">
          <x14:formula1>
            <xm:f>#REF!</xm:f>
          </x14:formula1>
          <xm:sqref>E115:E1048576</xm:sqref>
        </x14:dataValidation>
        <x14:dataValidation type="list" allowBlank="1" showInputMessage="1" showErrorMessage="1" prompt="Seleccionar tipo de procedimiento" xr:uid="{D7F0A3B0-F1FD-40F4-828A-C194D02A59C4}">
          <x14:formula1>
            <xm:f>#REF!</xm:f>
          </x14:formula1>
          <xm:sqref>I116:I1048576</xm:sqref>
        </x14:dataValidation>
        <x14:dataValidation type="list" allowBlank="1" showInputMessage="1" showErrorMessage="1" prompt="Seleccionar tipo de procedimiento" xr:uid="{78DE25E6-BF7D-4613-9396-E974094D1DAE}">
          <x14:formula1>
            <xm:f>#REF!</xm:f>
          </x14:formula1>
          <xm:sqref>H2:H122</xm:sqref>
        </x14:dataValidation>
        <x14:dataValidation type="list" allowBlank="1" showInputMessage="1" showErrorMessage="1" prompt="Elegir de entre los siguientes o no aplica" xr:uid="{A9DF9CFA-FD98-40C7-971F-226C9B512F9A}">
          <x14:formula1>
            <xm:f>#REF!</xm:f>
          </x14:formula1>
          <xm:sqref>K2:K122</xm:sqref>
        </x14:dataValidation>
        <x14:dataValidation type="list" allowBlank="1" showInputMessage="1" showErrorMessage="1" prompt="Seleccione de entre los siguientes" xr:uid="{9C96978A-B810-4814-A26E-4B438512CAA5}">
          <x14:formula1>
            <xm:f>#REF!</xm:f>
          </x14:formula1>
          <xm:sqref>F2:F122</xm:sqref>
        </x14:dataValidation>
        <x14:dataValidation type="list" allowBlank="1" showInputMessage="1" showErrorMessage="1" prompt="Seleccionar tipo de procedimiento" xr:uid="{07B33F7A-48D0-4DB9-B478-0108690FBAFB}">
          <x14:formula1>
            <xm:f>#REF!</xm:f>
          </x14:formula1>
          <xm:sqref>I2:I115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7F8EA-2461-4633-AF27-3F7490D1F0EA}">
  <dimension ref="B1:F43"/>
  <sheetViews>
    <sheetView zoomScale="82" workbookViewId="0">
      <selection activeCell="B2" sqref="B2:F2"/>
    </sheetView>
  </sheetViews>
  <sheetFormatPr baseColWidth="10" defaultColWidth="11.42578125" defaultRowHeight="15" x14ac:dyDescent="0.25"/>
  <cols>
    <col min="2" max="2" width="20.85546875" customWidth="1"/>
    <col min="3" max="3" width="12.42578125" customWidth="1"/>
    <col min="4" max="4" width="16" customWidth="1"/>
    <col min="5" max="5" width="14.140625" customWidth="1"/>
    <col min="6" max="6" width="14" customWidth="1"/>
    <col min="10" max="10" width="15" customWidth="1"/>
    <col min="11" max="11" width="12.85546875" bestFit="1" customWidth="1"/>
    <col min="12" max="12" width="15.28515625" bestFit="1" customWidth="1"/>
    <col min="13" max="13" width="14.140625" customWidth="1"/>
  </cols>
  <sheetData>
    <row r="1" spans="2:6" ht="15.75" thickBot="1" x14ac:dyDescent="0.3"/>
    <row r="2" spans="2:6" ht="53.1" customHeight="1" thickBot="1" x14ac:dyDescent="0.3">
      <c r="B2" s="75" t="s">
        <v>7</v>
      </c>
      <c r="C2" s="76" t="s">
        <v>380</v>
      </c>
      <c r="D2" s="76" t="s">
        <v>381</v>
      </c>
      <c r="E2" s="76" t="s">
        <v>382</v>
      </c>
      <c r="F2" s="77" t="s">
        <v>383</v>
      </c>
    </row>
    <row r="3" spans="2:6" x14ac:dyDescent="0.25">
      <c r="B3" s="69" t="s">
        <v>372</v>
      </c>
      <c r="C3" s="45" t="s">
        <v>371</v>
      </c>
      <c r="D3" s="46">
        <f>COUNTIFS(Tabla4[Procedimiento],"ABIERTO",Tabla4[Anualidad tramitación],"2025",Tabla4[Tipo],"OBRAS")</f>
        <v>0</v>
      </c>
      <c r="E3" s="47">
        <f>SUMIFS(Tabla4[Importe IVA incluido de la adjudicación],Tabla4[Procedimiento],"ABIERTO",Tabla4[Anualidad tramitación],"2025",Tabla4[Tipo],"OBRAS")</f>
        <v>0</v>
      </c>
      <c r="F3" s="48">
        <f t="shared" ref="F3:F34" si="0">+E3/$E$35</f>
        <v>0</v>
      </c>
    </row>
    <row r="4" spans="2:6" x14ac:dyDescent="0.25">
      <c r="B4" s="70"/>
      <c r="C4" s="49" t="s">
        <v>370</v>
      </c>
      <c r="D4" s="50">
        <f>COUNTIFS(Tabla4[Procedimiento],"ABIERTO",Tabla4[Anualidad tramitación],"2025",Tabla4[Tipo],"SERVICIOS")</f>
        <v>17</v>
      </c>
      <c r="E4" s="51">
        <f>SUMIFS(Tabla4[Importe IVA incluido de la adjudicación],Tabla4[Procedimiento],"ABIERTO",Tabla4[Anualidad tramitación],"2025",Tabla4[Tipo],"SERVICIOS")</f>
        <v>19835774.420000002</v>
      </c>
      <c r="F4" s="52">
        <f t="shared" si="0"/>
        <v>0.81146002750023327</v>
      </c>
    </row>
    <row r="5" spans="2:6" ht="15.75" thickBot="1" x14ac:dyDescent="0.3">
      <c r="B5" s="70"/>
      <c r="C5" s="53" t="s">
        <v>369</v>
      </c>
      <c r="D5" s="54">
        <f>COUNTIFS(Tabla4[Procedimiento],"ABIERTO",Tabla4[Anualidad tramitación],"2025",Tabla4[Tipo],"SUMINISTROS")</f>
        <v>1</v>
      </c>
      <c r="E5" s="55">
        <f>SUMIFS(Tabla4[Importe IVA incluido de la adjudicación],Tabla4[Procedimiento],"ABIERTO",Tabla4[Anualidad tramitación],"2025",Tabla4[Tipo],"SUMINISTROS")</f>
        <v>139099.42000000001</v>
      </c>
      <c r="F5" s="56">
        <f t="shared" si="0"/>
        <v>5.6904064741056118E-3</v>
      </c>
    </row>
    <row r="6" spans="2:6" ht="15.75" thickBot="1" x14ac:dyDescent="0.3">
      <c r="B6" s="67"/>
      <c r="C6" s="57" t="s">
        <v>384</v>
      </c>
      <c r="D6" s="58">
        <f>+SUM(D3:D5)</f>
        <v>18</v>
      </c>
      <c r="E6" s="59">
        <f>+SUM(E3:E5)</f>
        <v>19974873.840000004</v>
      </c>
      <c r="F6" s="60">
        <f t="shared" si="0"/>
        <v>0.81715043397433895</v>
      </c>
    </row>
    <row r="7" spans="2:6" x14ac:dyDescent="0.25">
      <c r="B7" s="64" t="s">
        <v>373</v>
      </c>
      <c r="C7" s="45" t="s">
        <v>371</v>
      </c>
      <c r="D7" s="46">
        <f>COUNTIFS(Tabla4[Procedimiento],"ABIERTO SIMPLIFICADO",Tabla4[Anualidad tramitación],"2025",Tabla4[Tipo],"OBRAS")+COUNTIFS(Tabla4[Procedimiento],"ABIERTO SIMPLIFICADO ART. 159.6",Tabla4[Anualidad tramitación],"2025",Tabla4[Tipo],"OBRAS")</f>
        <v>0</v>
      </c>
      <c r="E7" s="47">
        <f>SUMIFS(Tabla4[Importe IVA incluido de la adjudicación],Tabla4[Procedimiento],"ABIERTO SIMPLIFICADO",Tabla4[Anualidad tramitación],"2025",Tabla4[Tipo],"OBRAS")+SUMIFS(Tabla4[Importe IVA incluido de la adjudicación],Tabla4[Procedimiento],"ABIERTO SIMPLIFICADO ART. 159.6",Tabla4[Anualidad tramitación],"2025",Tabla4[Tipo],"OBRAS")</f>
        <v>0</v>
      </c>
      <c r="F7" s="48">
        <f t="shared" si="0"/>
        <v>0</v>
      </c>
    </row>
    <row r="8" spans="2:6" x14ac:dyDescent="0.25">
      <c r="B8" s="65"/>
      <c r="C8" s="49" t="s">
        <v>370</v>
      </c>
      <c r="D8" s="50">
        <f>COUNTIFS(Tabla4[Procedimiento],"ABIERTO SIMPLIFICADO",Tabla4[Anualidad tramitación],"2025",Tabla4[Tipo],"SERVICIOS")+COUNTIFS(Tabla4[Procedimiento],"ABIERTO SIMPLIFICADO ART. 159.6",Tabla4[Anualidad tramitación],"2025",Tabla4[Tipo],"SERVICIOS")</f>
        <v>8</v>
      </c>
      <c r="E8" s="51">
        <f>SUMIFS(Tabla4[Importe IVA incluido de la adjudicación],Tabla4[Procedimiento],"ABIERTO SIMPLIFICADO",Tabla4[Anualidad tramitación],"2025",Tabla4[Tipo],"SERVICIOS")+SUMIFS(Tabla4[Importe IVA incluido de la adjudicación],Tabla4[Procedimiento],"ABIERTO SIMPLIFICADO ART. 159.6",Tabla4[Anualidad tramitación],"2025",Tabla4[Tipo],"SERVICIOS")</f>
        <v>429485.24999999994</v>
      </c>
      <c r="F8" s="52">
        <f t="shared" si="0"/>
        <v>1.7569775971264773E-2</v>
      </c>
    </row>
    <row r="9" spans="2:6" ht="15.75" thickBot="1" x14ac:dyDescent="0.3">
      <c r="B9" s="65"/>
      <c r="C9" s="53" t="s">
        <v>369</v>
      </c>
      <c r="D9" s="54">
        <f>COUNTIFS(Tabla4[Procedimiento],"ABIERTO SIMPLIFICADO",Tabla4[Anualidad tramitación],"2025",Tabla4[Tipo],"SUMINISTROS")+COUNTIFS(Tabla4[Procedimiento],"ABIERTO SIMPLIFICADO ART. 159.6",Tabla4[Anualidad tramitación],"2025",Tabla4[Tipo],"SUMINISTROS")</f>
        <v>0</v>
      </c>
      <c r="E9" s="55">
        <f>SUMIFS(Tabla4[Importe IVA incluido de la adjudicación],Tabla4[Procedimiento],"ABIERTO SIMPLIFICADO",Tabla4[Anualidad tramitación],"2025",Tabla4[Tipo],"SUMINISTROS")+SUMIFS(Tabla4[Importe IVA incluido de la adjudicación],Tabla4[Procedimiento],"ABIERTO SIMPLIFICADO ART. 159.6",Tabla4[Anualidad tramitación],"2025",Tabla4[Tipo],"SUMINISTROS")</f>
        <v>0</v>
      </c>
      <c r="F9" s="56">
        <f t="shared" si="0"/>
        <v>0</v>
      </c>
    </row>
    <row r="10" spans="2:6" ht="15.75" thickBot="1" x14ac:dyDescent="0.3">
      <c r="B10" s="66"/>
      <c r="C10" s="57" t="s">
        <v>384</v>
      </c>
      <c r="D10" s="58">
        <f>+SUM(D7:D9)</f>
        <v>8</v>
      </c>
      <c r="E10" s="59">
        <f>+SUM(E7:E9)</f>
        <v>429485.24999999994</v>
      </c>
      <c r="F10" s="60">
        <f t="shared" si="0"/>
        <v>1.7569775971264773E-2</v>
      </c>
    </row>
    <row r="11" spans="2:6" x14ac:dyDescent="0.25">
      <c r="B11" s="64" t="s">
        <v>374</v>
      </c>
      <c r="C11" s="45" t="s">
        <v>371</v>
      </c>
      <c r="D11" s="46">
        <f>COUNTIFS(Tabla4[Procedimiento],"ABIERTO SIMPLIFICADO ABREVIADO",Tabla4[Anualidad tramitación],"2025",Tabla4[Tipo],"SERVICIOS")</f>
        <v>5</v>
      </c>
      <c r="E11" s="47">
        <f>SUMIFS(Tabla4[Importe IVA incluido de la adjudicación],Tabla4[Procedimiento],"ABIERTO SIMPLIFICADO ABREVIADO",Tabla4[Anualidad tramitación],"2025",Tabla4[Tipo],"SERVICIOS")</f>
        <v>199731.28</v>
      </c>
      <c r="F11" s="48">
        <f t="shared" si="0"/>
        <v>8.170790135526091E-3</v>
      </c>
    </row>
    <row r="12" spans="2:6" x14ac:dyDescent="0.25">
      <c r="B12" s="65"/>
      <c r="C12" s="49" t="s">
        <v>370</v>
      </c>
      <c r="D12" s="50">
        <f>COUNTIFS(Tabla4[Procedimiento],"ABIERTO SIMPLIFICADO ABREVIADO",Tabla4[Anualidad tramitación],"2025",Tabla4[Tipo],"SUMINISTROS")</f>
        <v>3</v>
      </c>
      <c r="E12" s="51">
        <f>SUMIFS(Tabla4[Importe IVA incluido de la adjudicación],Tabla4[Procedimiento],"ABIERTO SIMPLIFICADO ABREVIADO",Tabla4[Anualidad tramitación],"2025",Tabla4[Tipo],"SUMINISTROS")</f>
        <v>74365.509999999995</v>
      </c>
      <c r="F12" s="52">
        <f t="shared" si="0"/>
        <v>3.0422123942297212E-3</v>
      </c>
    </row>
    <row r="13" spans="2:6" ht="15.75" thickBot="1" x14ac:dyDescent="0.3">
      <c r="B13" s="65"/>
      <c r="C13" s="53" t="s">
        <v>369</v>
      </c>
      <c r="D13" s="54">
        <f>COUNTIFS(Tabla4[Procedimiento],"ABIERTO SIMPLIFICADO ABREVIADO",Tabla4[Anualidad tramitación],"2025",Tabla4[Tipo],"OBRAS")</f>
        <v>0</v>
      </c>
      <c r="E13" s="55">
        <f>SUMIFS(Tabla4[Importe IVA incluido de la adjudicación],Tabla4[Procedimiento],"ABIERTO SIMPLIFICADO ABREVIADO",Tabla4[Anualidad tramitación],"2025",Tabla4[Tipo],"OBRAS")</f>
        <v>0</v>
      </c>
      <c r="F13" s="56">
        <f t="shared" si="0"/>
        <v>0</v>
      </c>
    </row>
    <row r="14" spans="2:6" ht="15.75" thickBot="1" x14ac:dyDescent="0.3">
      <c r="B14" s="66"/>
      <c r="C14" s="57" t="s">
        <v>384</v>
      </c>
      <c r="D14" s="58">
        <f>+SUM(D11:D13)</f>
        <v>8</v>
      </c>
      <c r="E14" s="59">
        <f>+SUM(E11:E13)</f>
        <v>274096.78999999998</v>
      </c>
      <c r="F14" s="60">
        <f t="shared" si="0"/>
        <v>1.1213002529755812E-2</v>
      </c>
    </row>
    <row r="15" spans="2:6" x14ac:dyDescent="0.25">
      <c r="B15" s="64" t="s">
        <v>375</v>
      </c>
      <c r="C15" s="45" t="s">
        <v>371</v>
      </c>
      <c r="D15" s="46">
        <f>COUNTIFS(Tabla4[Procedimiento],"BASADO EN ACUERDO MARCO",Tabla4[Anualidad tramitación],"2025",Tabla4[Tipo],"SERVICIOS")</f>
        <v>0</v>
      </c>
      <c r="E15" s="47">
        <f>SUMIFS(Tabla4[Importe IVA incluido de la adjudicación],Tabla4[Procedimiento],"BASADO EN ACUERDO MARCO",Tabla4[Anualidad tramitación],"2025",Tabla4[Tipo],"SERVICIOS")</f>
        <v>0</v>
      </c>
      <c r="F15" s="48">
        <f t="shared" si="0"/>
        <v>0</v>
      </c>
    </row>
    <row r="16" spans="2:6" x14ac:dyDescent="0.25">
      <c r="B16" s="65"/>
      <c r="C16" s="49" t="s">
        <v>370</v>
      </c>
      <c r="D16" s="50">
        <f>COUNTIFS(Tabla4[Procedimiento],"BASADO EN ACUERDO MARCO",Tabla4[Anualidad tramitación],"2025",Tabla4[Tipo],"SUMINISTROS")</f>
        <v>8</v>
      </c>
      <c r="E16" s="51">
        <f>SUMIFS(Tabla4[Importe IVA incluido de la adjudicación],Tabla4[Procedimiento],"BASADO EN ACUERDO MARCO",Tabla4[Anualidad tramitación],"2025",Tabla4[Tipo],"SUMINISTROS")</f>
        <v>1978087.17</v>
      </c>
      <c r="F16" s="52">
        <f t="shared" si="0"/>
        <v>8.0921401674523497E-2</v>
      </c>
    </row>
    <row r="17" spans="2:6" ht="15.75" thickBot="1" x14ac:dyDescent="0.3">
      <c r="B17" s="65"/>
      <c r="C17" s="53" t="s">
        <v>369</v>
      </c>
      <c r="D17" s="54">
        <f>COUNTIFS(Tabla4[Procedimiento],"BASADO EN ACUERDO MARCO",Tabla4[Anualidad tramitación],"2025",Tabla4[Tipo],"OBRAS")</f>
        <v>0</v>
      </c>
      <c r="E17" s="55">
        <f>SUMIFS(Tabla4[Importe IVA incluido de la adjudicación],Tabla4[Procedimiento],"BASADO EN ACUERDO MARCO",Tabla4[Anualidad tramitación],"2025",Tabla4[Tipo],"OBRAS")</f>
        <v>0</v>
      </c>
      <c r="F17" s="56">
        <f t="shared" si="0"/>
        <v>0</v>
      </c>
    </row>
    <row r="18" spans="2:6" ht="15.75" thickBot="1" x14ac:dyDescent="0.3">
      <c r="B18" s="66"/>
      <c r="C18" s="57" t="s">
        <v>384</v>
      </c>
      <c r="D18" s="58">
        <f>+SUM(D15:D17)</f>
        <v>8</v>
      </c>
      <c r="E18" s="59">
        <f>+SUM(E15:E17)</f>
        <v>1978087.17</v>
      </c>
      <c r="F18" s="60">
        <f t="shared" si="0"/>
        <v>8.0921401674523497E-2</v>
      </c>
    </row>
    <row r="19" spans="2:6" x14ac:dyDescent="0.25">
      <c r="B19" s="64" t="s">
        <v>376</v>
      </c>
      <c r="C19" s="45" t="s">
        <v>371</v>
      </c>
      <c r="D19" s="46">
        <f>COUNTIFS(Tabla4[Procedimiento],"ESPECÍFICO DE SISTEMA DINÁMICO",Tabla4[Anualidad tramitación],"2025",Tabla4[Tipo],"OBRAS")</f>
        <v>0</v>
      </c>
      <c r="E19" s="47">
        <f>SUMIFS(Tabla4[Importe IVA incluido de la adjudicación],Tabla4[Procedimiento],"ESPECÍFICO DE SISTEMA DINÁMICO",Tabla4[Anualidad tramitación],"2025",Tabla4[Tipo],"OBRAS")</f>
        <v>0</v>
      </c>
      <c r="F19" s="48">
        <f t="shared" si="0"/>
        <v>0</v>
      </c>
    </row>
    <row r="20" spans="2:6" x14ac:dyDescent="0.25">
      <c r="B20" s="65"/>
      <c r="C20" s="49" t="s">
        <v>370</v>
      </c>
      <c r="D20" s="50">
        <f>COUNTIFS(Tabla4[Procedimiento],"ESPECÍFICO DE SISTEMA DINÁMICO",Tabla4[Anualidad tramitación],"2025",Tabla4[Tipo],"SERVICIOS")</f>
        <v>1</v>
      </c>
      <c r="E20" s="51">
        <f>SUMIFS(Tabla4[Importe IVA incluido de la adjudicación],Tabla4[Procedimiento],"ESPECÍFICO DE SISTEMA DINÁMICO",Tabla4[Anualidad tramitación],"2025",Tabla4[Tipo],"SERVICIOS")</f>
        <v>170610</v>
      </c>
      <c r="F20" s="52">
        <f t="shared" si="0"/>
        <v>6.9794701411922374E-3</v>
      </c>
    </row>
    <row r="21" spans="2:6" ht="15.75" thickBot="1" x14ac:dyDescent="0.3">
      <c r="B21" s="65"/>
      <c r="C21" s="53" t="s">
        <v>369</v>
      </c>
      <c r="D21" s="54">
        <f>COUNTIFS(Tabla4[Procedimiento],"ESPECÍFICO DE SISTEMA DINÁMICO",Tabla4[Anualidad tramitación],"2025",Tabla4[Tipo],"SUMINISTROS")</f>
        <v>4</v>
      </c>
      <c r="E21" s="55">
        <f>SUMIFS(Tabla4[Importe IVA incluido de la adjudicación],Tabla4[Procedimiento],"ESPECÍFICO DE SISTEMA DINÁMICO",Tabla4[Anualidad tramitación],"2025",Tabla4[Tipo],"SUMINISTROS")</f>
        <v>803887.70000000007</v>
      </c>
      <c r="F21" s="56">
        <f t="shared" si="0"/>
        <v>3.2886174309956648E-2</v>
      </c>
    </row>
    <row r="22" spans="2:6" ht="15.75" thickBot="1" x14ac:dyDescent="0.3">
      <c r="B22" s="66"/>
      <c r="C22" s="57" t="s">
        <v>384</v>
      </c>
      <c r="D22" s="58">
        <f>+SUM(D19:D21)</f>
        <v>5</v>
      </c>
      <c r="E22" s="59">
        <f>+SUM(E19:E21)</f>
        <v>974497.70000000007</v>
      </c>
      <c r="F22" s="60">
        <f t="shared" si="0"/>
        <v>3.9865644451148888E-2</v>
      </c>
    </row>
    <row r="23" spans="2:6" x14ac:dyDescent="0.25">
      <c r="B23" s="64" t="s">
        <v>377</v>
      </c>
      <c r="C23" s="45" t="s">
        <v>371</v>
      </c>
      <c r="D23" s="46">
        <f>COUNTIFS(Tabla4[Procedimiento],"RESTRINGIDO",Tabla4[Anualidad tramitación],"2025",Tabla4[Tipo],"OBRAS")</f>
        <v>0</v>
      </c>
      <c r="E23" s="47">
        <f>SUMIFS(Tabla4[Importe IVA incluido de la adjudicación],Tabla4[Procedimiento],"RESTRINGIDO",Tabla4[Anualidad tramitación],"2025",Tabla4[Tipo],"OBRAS")</f>
        <v>0</v>
      </c>
      <c r="F23" s="48">
        <f t="shared" si="0"/>
        <v>0</v>
      </c>
    </row>
    <row r="24" spans="2:6" x14ac:dyDescent="0.25">
      <c r="B24" s="65"/>
      <c r="C24" s="49" t="s">
        <v>370</v>
      </c>
      <c r="D24" s="50">
        <f>COUNTIFS(Tabla4[Procedimiento],"RESTRINGIDO",Tabla4[Anualidad tramitación],"2025",Tabla4[Tipo],"SERVICIOS")</f>
        <v>0</v>
      </c>
      <c r="E24" s="51">
        <f>SUMIFS(Tabla4[Importe IVA incluido de la adjudicación],Tabla4[Procedimiento],"RESTRINGIDO",Tabla4[Anualidad tramitación],"2025",Tabla4[Tipo],"SERVICIOS")</f>
        <v>0</v>
      </c>
      <c r="F24" s="52">
        <f t="shared" si="0"/>
        <v>0</v>
      </c>
    </row>
    <row r="25" spans="2:6" ht="15.75" thickBot="1" x14ac:dyDescent="0.3">
      <c r="B25" s="65"/>
      <c r="C25" s="53" t="s">
        <v>369</v>
      </c>
      <c r="D25" s="54">
        <f>COUNTIFS(Tabla4[Procedimiento],"RESTRINGIDO",Tabla4[Anualidad tramitación],"2025",Tabla4[Tipo],"SUMINISTROS")</f>
        <v>0</v>
      </c>
      <c r="E25" s="55">
        <f>SUMIFS(Tabla4[Importe IVA incluido de la adjudicación],Tabla4[Procedimiento],"RESTRINGIDO",Tabla4[Anualidad tramitación],"2025",Tabla4[Tipo],"SUMINISTROS")</f>
        <v>0</v>
      </c>
      <c r="F25" s="56">
        <f t="shared" si="0"/>
        <v>0</v>
      </c>
    </row>
    <row r="26" spans="2:6" ht="15.75" thickBot="1" x14ac:dyDescent="0.3">
      <c r="B26" s="66"/>
      <c r="C26" s="57" t="s">
        <v>384</v>
      </c>
      <c r="D26" s="58">
        <f>+SUM(D23:D25)</f>
        <v>0</v>
      </c>
      <c r="E26" s="59">
        <f>+SUM(E23:E25)</f>
        <v>0</v>
      </c>
      <c r="F26" s="60">
        <f t="shared" si="0"/>
        <v>0</v>
      </c>
    </row>
    <row r="27" spans="2:6" x14ac:dyDescent="0.25">
      <c r="B27" s="64" t="s">
        <v>378</v>
      </c>
      <c r="C27" s="45" t="s">
        <v>371</v>
      </c>
      <c r="D27" s="46">
        <f>COUNTIFS(Tabla4[Procedimiento],"NEGOCIADO SIN PUBLICIDAD",Tabla4[Anualidad tramitación],"2025",Tabla4[Tipo],"OBRAS")</f>
        <v>0</v>
      </c>
      <c r="E27" s="47">
        <f>SUMIFS(Tabla4[Importe IVA incluido de la adjudicación],Tabla4[Procedimiento],"NEGOCIADO SIN PUBLICIDAD",Tabla4[Anualidad tramitación],"2025",Tabla4[Tipo],"OBRAS")</f>
        <v>0</v>
      </c>
      <c r="F27" s="48">
        <f t="shared" si="0"/>
        <v>0</v>
      </c>
    </row>
    <row r="28" spans="2:6" x14ac:dyDescent="0.25">
      <c r="B28" s="65"/>
      <c r="C28" s="49" t="s">
        <v>370</v>
      </c>
      <c r="D28" s="50">
        <f>COUNTIFS(Tabla4[Procedimiento],"NEGOCIADO SIN PUBLICIDAD",Tabla4[Anualidad tramitación],"2025",Tabla4[Tipo],"SERVICIOS")</f>
        <v>1</v>
      </c>
      <c r="E28" s="51">
        <f>SUMIFS(Tabla4[Importe IVA incluido de la adjudicación],Tabla4[Procedimiento],"NEGOCIADO SIN PUBLICIDAD",Tabla4[Anualidad tramitación],"2025",Tabla4[Tipo],"SERVICIOS")</f>
        <v>46409.55</v>
      </c>
      <c r="F28" s="52">
        <f t="shared" si="0"/>
        <v>1.8985643777689951E-3</v>
      </c>
    </row>
    <row r="29" spans="2:6" ht="15.75" thickBot="1" x14ac:dyDescent="0.3">
      <c r="B29" s="65"/>
      <c r="C29" s="53" t="s">
        <v>369</v>
      </c>
      <c r="D29" s="54">
        <f>COUNTIFS(Tabla4[Procedimiento],"NEGOCIADO SIN PUBLICIDAD",Tabla4[Anualidad tramitación],"2025",Tabla4[Tipo],"SUMINISTROS")</f>
        <v>1</v>
      </c>
      <c r="E29" s="55">
        <f>SUMIFS(Tabla4[Importe IVA incluido de la adjudicación],Tabla4[Procedimiento],"NEGOCIADO SIN PUBLICIDAD",Tabla4[Anualidad tramitación],"2025",Tabla4[Tipo],"SUMINISTROS")</f>
        <v>54520.18</v>
      </c>
      <c r="F29" s="56">
        <f t="shared" si="0"/>
        <v>2.230361458310921E-3</v>
      </c>
    </row>
    <row r="30" spans="2:6" ht="15.75" thickBot="1" x14ac:dyDescent="0.3">
      <c r="B30" s="66"/>
      <c r="C30" s="57" t="s">
        <v>384</v>
      </c>
      <c r="D30" s="58">
        <f>+SUM(D27:D29)</f>
        <v>2</v>
      </c>
      <c r="E30" s="59">
        <f>+SUM(E27:E29)</f>
        <v>100929.73000000001</v>
      </c>
      <c r="F30" s="60">
        <f t="shared" si="0"/>
        <v>4.1289258360799165E-3</v>
      </c>
    </row>
    <row r="31" spans="2:6" x14ac:dyDescent="0.25">
      <c r="B31" s="64" t="s">
        <v>379</v>
      </c>
      <c r="C31" s="45" t="s">
        <v>371</v>
      </c>
      <c r="D31" s="46">
        <f>COUNTIFS(Tabla4[Procedimiento],"Contrato menor",Tabla4[Anualidad tramitación],"2025",Tabla4[Tipo],"OBRAS")</f>
        <v>11</v>
      </c>
      <c r="E31" s="47">
        <f>SUMIFS(Tabla4[Importe IVA incluido de la adjudicación],Tabla4[Procedimiento],"Contrato menor",Tabla4[Anualidad tramitación],"2025",Tabla4[Tipo],"OBRAS")</f>
        <v>166114.87000000002</v>
      </c>
      <c r="F31" s="48">
        <f t="shared" si="0"/>
        <v>6.7955792460760236E-3</v>
      </c>
    </row>
    <row r="32" spans="2:6" x14ac:dyDescent="0.25">
      <c r="B32" s="65"/>
      <c r="C32" s="49" t="s">
        <v>370</v>
      </c>
      <c r="D32" s="50">
        <f>COUNTIFS(Tabla4[Procedimiento],"Contrato menor",Tabla4[Anualidad tramitación],"2025",Tabla4[Tipo],"SERVICIOS")</f>
        <v>35</v>
      </c>
      <c r="E32" s="51">
        <f>SUMIFS(Tabla4[Importe IVA incluido de la adjudicación],Tabla4[Procedimiento],"Contrato menor",Tabla4[Anualidad tramitación],"2025",Tabla4[Tipo],"SERVICIOS")</f>
        <v>418042.34</v>
      </c>
      <c r="F32" s="52">
        <f t="shared" si="0"/>
        <v>1.7101658928457497E-2</v>
      </c>
    </row>
    <row r="33" spans="2:6" ht="15.75" thickBot="1" x14ac:dyDescent="0.3">
      <c r="B33" s="65"/>
      <c r="C33" s="53" t="s">
        <v>369</v>
      </c>
      <c r="D33" s="54">
        <f>COUNTIFS(Tabla4[Procedimiento],"Contrato menor",Tabla4[Anualidad tramitación],"2025",Tabla4[Tipo],"SUMINISTROS")</f>
        <v>22</v>
      </c>
      <c r="E33" s="55">
        <f>SUMIFS(Tabla4[Importe IVA incluido de la adjudicación],Tabla4[Procedimiento],"Contrato menor",Tabla4[Anualidad tramitación],"2025",Tabla4[Tipo],"SUMINISTROS")</f>
        <v>128421.33000000002</v>
      </c>
      <c r="F33" s="56">
        <f t="shared" si="0"/>
        <v>5.253577388354698E-3</v>
      </c>
    </row>
    <row r="34" spans="2:6" ht="15.75" thickBot="1" x14ac:dyDescent="0.3">
      <c r="B34" s="66"/>
      <c r="C34" s="57" t="s">
        <v>384</v>
      </c>
      <c r="D34" s="58">
        <f>+SUM(D31:D33)</f>
        <v>68</v>
      </c>
      <c r="E34" s="59">
        <f>+SUM(E31:E33)</f>
        <v>712578.54</v>
      </c>
      <c r="F34" s="60">
        <f t="shared" si="0"/>
        <v>2.9150815562888219E-2</v>
      </c>
    </row>
    <row r="35" spans="2:6" ht="15.75" thickBot="1" x14ac:dyDescent="0.3">
      <c r="B35" s="67" t="s">
        <v>385</v>
      </c>
      <c r="C35" s="68"/>
      <c r="D35" s="61">
        <f>+SUM(D6,D10,D14,D18,D22,D26,D30,D34)</f>
        <v>117</v>
      </c>
      <c r="E35" s="62">
        <f>+SUM(E6,E10,E14,E18,E22,E26,E30,E34)</f>
        <v>24444549.020000003</v>
      </c>
      <c r="F35" s="63"/>
    </row>
    <row r="41" spans="2:6" ht="15.75" thickBot="1" x14ac:dyDescent="0.3">
      <c r="B41" s="38" t="s">
        <v>386</v>
      </c>
      <c r="C41" s="39"/>
      <c r="D41" s="39"/>
      <c r="E41" s="39"/>
      <c r="F41" s="39"/>
    </row>
    <row r="42" spans="2:6" ht="44.1" customHeight="1" x14ac:dyDescent="0.25">
      <c r="B42" s="75" t="s">
        <v>387</v>
      </c>
      <c r="C42" s="76" t="s">
        <v>388</v>
      </c>
      <c r="D42" s="76" t="s">
        <v>389</v>
      </c>
      <c r="E42" s="76" t="s">
        <v>390</v>
      </c>
      <c r="F42" s="77" t="s">
        <v>391</v>
      </c>
    </row>
    <row r="43" spans="2:6" ht="15.75" thickBot="1" x14ac:dyDescent="0.3">
      <c r="B43" s="40">
        <f>SUM(Tabla4[Número de empresas licitadoras pymes])</f>
        <v>30</v>
      </c>
      <c r="C43" s="41">
        <f>COUNTIFS(Tabla4[Procedimiento],"ABIERTO",Tabla4[Anualidad tramitación],"2025",Tabla4[¿PYME?],"SÍ")</f>
        <v>8</v>
      </c>
      <c r="D43" s="42">
        <f>SUMIFS(Tabla4[Importe IVA incluido de la adjudicación],Tabla4[Procedimiento],"ABIERTO",Tabla4[Anualidad tramitación],"2025",Tabla4[¿PYME?],"SÍ")</f>
        <v>12187735.910000002</v>
      </c>
      <c r="E43" s="43">
        <f>+C43/D6</f>
        <v>0.44444444444444442</v>
      </c>
      <c r="F43" s="44">
        <f>+D43/E6</f>
        <v>0.61015333601726518</v>
      </c>
    </row>
  </sheetData>
  <mergeCells count="9">
    <mergeCell ref="B31:B34"/>
    <mergeCell ref="B35:C35"/>
    <mergeCell ref="B11:B14"/>
    <mergeCell ref="B3:B6"/>
    <mergeCell ref="B7:B10"/>
    <mergeCell ref="B15:B18"/>
    <mergeCell ref="B19:B22"/>
    <mergeCell ref="B23:B26"/>
    <mergeCell ref="B27:B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82EE-4C4A-4342-AF43-CF1276E3F75C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 de contratos</vt:lpstr>
      <vt:lpstr>estadísticas pymes</vt:lpstr>
      <vt:lpstr>Hoja1</vt:lpstr>
    </vt:vector>
  </TitlesOfParts>
  <Manager/>
  <Company>Instituto Nacional de Estadística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CERRADA</dc:creator>
  <cp:keywords/>
  <dc:description/>
  <cp:lastModifiedBy>M.CARMEN RODRIGUEZ SERRANO</cp:lastModifiedBy>
  <cp:revision/>
  <dcterms:created xsi:type="dcterms:W3CDTF">2024-05-29T12:07:04Z</dcterms:created>
  <dcterms:modified xsi:type="dcterms:W3CDTF">2026-06-09T11:22:55Z</dcterms:modified>
  <cp:category/>
  <cp:contentStatus/>
</cp:coreProperties>
</file>